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ААС\Правление СРО ААС\2022\596 Заседание от 25 11 22 очн\"/>
    </mc:Choice>
  </mc:AlternateContent>
  <xr:revisionPtr revIDLastSave="0" documentId="8_{D5317968-9371-461B-9CF6-8671D70DCACE}" xr6:coauthVersionLast="36" xr6:coauthVersionMax="36" xr10:uidLastSave="{00000000-0000-0000-0000-000000000000}"/>
  <bookViews>
    <workbookView xWindow="-105" yWindow="-105" windowWidth="23258" windowHeight="12578" firstSheet="3" activeTab="3" xr2:uid="{00000000-000D-0000-FFFF-FFFF00000000}"/>
  </bookViews>
  <sheets>
    <sheet name="2017 Доходы от ЮЛ" sheetId="2" r:id="rId1"/>
    <sheet name="2018 Доходы от ЮЛ" sheetId="6" r:id="rId2"/>
    <sheet name="2019 Доходы от ЮЛ" sheetId="7" r:id="rId3"/>
    <sheet name="2023 Модель взносов ЮЛ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1" l="1"/>
  <c r="T23" i="11" l="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F21" i="1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N12" i="11" l="1"/>
  <c r="U12" i="11" s="1"/>
  <c r="N13" i="11"/>
  <c r="U13" i="11" s="1"/>
  <c r="N21" i="11"/>
  <c r="N20" i="11"/>
  <c r="N19" i="11"/>
  <c r="N17" i="11"/>
  <c r="N14" i="11"/>
  <c r="N11" i="11"/>
  <c r="N10" i="11"/>
  <c r="N9" i="11"/>
  <c r="N8" i="11"/>
  <c r="N16" i="11"/>
  <c r="N15" i="11"/>
  <c r="V23" i="11"/>
  <c r="N7" i="11"/>
  <c r="N18" i="11"/>
  <c r="R13" i="11" l="1"/>
  <c r="R12" i="11"/>
  <c r="U10" i="11"/>
  <c r="R10" i="11"/>
  <c r="U18" i="11"/>
  <c r="R18" i="11"/>
  <c r="U14" i="11"/>
  <c r="R14" i="11"/>
  <c r="U8" i="11"/>
  <c r="R8" i="11"/>
  <c r="U11" i="11"/>
  <c r="R11" i="11"/>
  <c r="U7" i="11"/>
  <c r="R7" i="11"/>
  <c r="U17" i="11"/>
  <c r="R17" i="11"/>
  <c r="U15" i="11"/>
  <c r="R15" i="11"/>
  <c r="U19" i="11"/>
  <c r="R19" i="11"/>
  <c r="U16" i="11"/>
  <c r="R16" i="11"/>
  <c r="U20" i="11"/>
  <c r="R20" i="11"/>
  <c r="U21" i="11"/>
  <c r="R21" i="11"/>
  <c r="U9" i="11"/>
  <c r="R9" i="11"/>
  <c r="U23" i="11" l="1"/>
  <c r="E7" i="7"/>
  <c r="H7" i="7"/>
  <c r="N4" i="7" l="1"/>
  <c r="N10" i="7"/>
  <c r="N7" i="7"/>
  <c r="N9" i="7"/>
  <c r="N8" i="7"/>
  <c r="N6" i="7"/>
  <c r="N5" i="7"/>
  <c r="K14" i="7"/>
  <c r="K9" i="7"/>
  <c r="K8" i="7"/>
  <c r="K5" i="7"/>
  <c r="K7" i="7"/>
  <c r="K6" i="7"/>
  <c r="K4" i="7"/>
  <c r="H10" i="7"/>
  <c r="H9" i="7"/>
  <c r="H6" i="7"/>
  <c r="H8" i="7"/>
  <c r="H5" i="7"/>
  <c r="H4" i="7"/>
  <c r="E8" i="7"/>
  <c r="E9" i="7"/>
  <c r="E4" i="7"/>
  <c r="E6" i="7"/>
  <c r="E5" i="7"/>
  <c r="N4" i="6" l="1"/>
  <c r="N5" i="2"/>
  <c r="N4" i="2"/>
  <c r="K4" i="2"/>
  <c r="H4" i="2"/>
  <c r="E4" i="2"/>
  <c r="N7" i="6" l="1"/>
  <c r="N5" i="6"/>
  <c r="K7" i="6"/>
  <c r="K6" i="6"/>
  <c r="K4" i="6"/>
  <c r="H7" i="6"/>
  <c r="H6" i="6"/>
  <c r="H5" i="6"/>
  <c r="H4" i="6"/>
  <c r="E8" i="6"/>
  <c r="E7" i="6"/>
  <c r="E6" i="6"/>
  <c r="E5" i="6"/>
  <c r="E4" i="6"/>
  <c r="N8" i="2"/>
  <c r="N7" i="2"/>
  <c r="K6" i="2"/>
  <c r="N14" i="2" l="1"/>
  <c r="N11" i="2"/>
  <c r="N12" i="2"/>
  <c r="N6" i="2"/>
  <c r="N10" i="2"/>
  <c r="N9" i="2"/>
  <c r="K12" i="2"/>
  <c r="K11" i="2"/>
  <c r="K8" i="2"/>
  <c r="K9" i="2"/>
  <c r="K7" i="2"/>
  <c r="K5" i="2"/>
  <c r="H9" i="2" l="1"/>
  <c r="H8" i="2"/>
  <c r="H5" i="2"/>
  <c r="H7" i="2"/>
  <c r="H6" i="2"/>
  <c r="E5" i="2"/>
  <c r="E15" i="2"/>
  <c r="E7" i="2" l="1"/>
  <c r="E9" i="2"/>
  <c r="E8" i="2"/>
  <c r="E6" i="2"/>
  <c r="N11" i="6"/>
  <c r="N8" i="6"/>
  <c r="N12" i="6"/>
  <c r="N9" i="6"/>
  <c r="K10" i="6"/>
  <c r="K9" i="6"/>
  <c r="N10" i="6"/>
  <c r="N6" i="6"/>
  <c r="K8" i="6"/>
  <c r="K5" i="6"/>
  <c r="K12" i="6" l="1"/>
  <c r="H12" i="6" l="1"/>
  <c r="H10" i="6"/>
  <c r="H8" i="6"/>
  <c r="H9" i="6"/>
  <c r="E9" i="6" l="1"/>
  <c r="E10" i="6"/>
  <c r="E11" i="6"/>
  <c r="E22" i="2" l="1"/>
  <c r="N22" i="7" l="1"/>
  <c r="K22" i="7"/>
  <c r="H22" i="7"/>
  <c r="E22" i="7"/>
  <c r="O17" i="7"/>
  <c r="L17" i="7"/>
  <c r="I17" i="7"/>
  <c r="F17" i="7"/>
  <c r="O16" i="7"/>
  <c r="L16" i="7"/>
  <c r="I16" i="7"/>
  <c r="F16" i="7"/>
  <c r="O15" i="7"/>
  <c r="L15" i="7"/>
  <c r="I15" i="7"/>
  <c r="F15" i="7"/>
  <c r="O14" i="7"/>
  <c r="L14" i="7"/>
  <c r="I14" i="7"/>
  <c r="F14" i="7"/>
  <c r="O13" i="7"/>
  <c r="L13" i="7"/>
  <c r="I13" i="7"/>
  <c r="F13" i="7"/>
  <c r="O12" i="7"/>
  <c r="L12" i="7"/>
  <c r="I12" i="7"/>
  <c r="F12" i="7"/>
  <c r="O11" i="7"/>
  <c r="L11" i="7"/>
  <c r="I11" i="7"/>
  <c r="F11" i="7"/>
  <c r="O10" i="7"/>
  <c r="L10" i="7"/>
  <c r="I10" i="7"/>
  <c r="F10" i="7"/>
  <c r="O9" i="7"/>
  <c r="L9" i="7"/>
  <c r="I9" i="7"/>
  <c r="F9" i="7"/>
  <c r="O8" i="7"/>
  <c r="L8" i="7"/>
  <c r="I8" i="7"/>
  <c r="F8" i="7"/>
  <c r="O7" i="7"/>
  <c r="L7" i="7"/>
  <c r="I7" i="7"/>
  <c r="F7" i="7"/>
  <c r="O6" i="7"/>
  <c r="L6" i="7"/>
  <c r="I6" i="7"/>
  <c r="F6" i="7"/>
  <c r="O5" i="7"/>
  <c r="L5" i="7"/>
  <c r="I5" i="7"/>
  <c r="F5" i="7"/>
  <c r="O4" i="7"/>
  <c r="L4" i="7"/>
  <c r="I4" i="7"/>
  <c r="F4" i="7"/>
  <c r="N22" i="6"/>
  <c r="K22" i="6"/>
  <c r="H22" i="6"/>
  <c r="E22" i="6"/>
  <c r="O17" i="6"/>
  <c r="L17" i="6"/>
  <c r="I17" i="6"/>
  <c r="F17" i="6"/>
  <c r="O16" i="6"/>
  <c r="L16" i="6"/>
  <c r="I16" i="6"/>
  <c r="F16" i="6"/>
  <c r="O15" i="6"/>
  <c r="L15" i="6"/>
  <c r="I15" i="6"/>
  <c r="F15" i="6"/>
  <c r="O14" i="6"/>
  <c r="L14" i="6"/>
  <c r="I14" i="6"/>
  <c r="F14" i="6"/>
  <c r="O13" i="6"/>
  <c r="L13" i="6"/>
  <c r="I13" i="6"/>
  <c r="F13" i="6"/>
  <c r="O12" i="6"/>
  <c r="L12" i="6"/>
  <c r="I12" i="6"/>
  <c r="F12" i="6"/>
  <c r="O11" i="6"/>
  <c r="L11" i="6"/>
  <c r="I11" i="6"/>
  <c r="F11" i="6"/>
  <c r="O10" i="6"/>
  <c r="L10" i="6"/>
  <c r="I10" i="6"/>
  <c r="F10" i="6"/>
  <c r="O9" i="6"/>
  <c r="L9" i="6"/>
  <c r="I9" i="6"/>
  <c r="F9" i="6"/>
  <c r="O8" i="6"/>
  <c r="L8" i="6"/>
  <c r="I8" i="6"/>
  <c r="F8" i="6"/>
  <c r="O7" i="6"/>
  <c r="L7" i="6"/>
  <c r="I7" i="6"/>
  <c r="F7" i="6"/>
  <c r="O6" i="6"/>
  <c r="L6" i="6"/>
  <c r="I6" i="6"/>
  <c r="F6" i="6"/>
  <c r="O5" i="6"/>
  <c r="L5" i="6"/>
  <c r="I5" i="6"/>
  <c r="F5" i="6"/>
  <c r="O4" i="6"/>
  <c r="L4" i="6"/>
  <c r="I4" i="6"/>
  <c r="F4" i="6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17" i="2"/>
  <c r="F16" i="2"/>
  <c r="F15" i="2"/>
  <c r="F14" i="2"/>
  <c r="F13" i="2"/>
  <c r="F12" i="2"/>
  <c r="F11" i="2"/>
  <c r="F10" i="2"/>
  <c r="F9" i="2"/>
  <c r="F8" i="2"/>
  <c r="F7" i="2"/>
  <c r="F6" i="2"/>
  <c r="I4" i="2"/>
  <c r="L4" i="2"/>
  <c r="N22" i="2"/>
  <c r="K22" i="2"/>
  <c r="H22" i="2"/>
  <c r="F5" i="2"/>
  <c r="O4" i="2"/>
  <c r="F4" i="2"/>
  <c r="F19" i="2" l="1"/>
  <c r="L19" i="6"/>
  <c r="O19" i="6"/>
  <c r="I19" i="6"/>
  <c r="F19" i="6"/>
  <c r="L19" i="7"/>
  <c r="F19" i="7"/>
  <c r="O19" i="7"/>
  <c r="I19" i="7"/>
  <c r="O19" i="2"/>
  <c r="L19" i="2"/>
  <c r="I19" i="2"/>
  <c r="B20" i="6" l="1"/>
  <c r="B20" i="7"/>
  <c r="B20" i="2"/>
</calcChain>
</file>

<file path=xl/sharedStrings.xml><?xml version="1.0" encoding="utf-8"?>
<sst xmlns="http://schemas.openxmlformats.org/spreadsheetml/2006/main" count="146" uniqueCount="74">
  <si>
    <t>№№</t>
  </si>
  <si>
    <t>Выручка за квартал (тыс.руб.)</t>
  </si>
  <si>
    <t>Размер членских взносов за квартал (руб.)</t>
  </si>
  <si>
    <t>Кол-во аудиторских организаций</t>
  </si>
  <si>
    <t>Сумма взносов</t>
  </si>
  <si>
    <t>от 0 - до 500</t>
  </si>
  <si>
    <t>свыше  500 - до   1 000</t>
  </si>
  <si>
    <t>свыше 1 000 - до 2 000</t>
  </si>
  <si>
    <t>свыше 2 000 - до  3 000</t>
  </si>
  <si>
    <t>свыше 3 000 - до  6 000</t>
  </si>
  <si>
    <t>свыше 6 000 - до  10 000</t>
  </si>
  <si>
    <t>свыше10 000 - до 15 000</t>
  </si>
  <si>
    <t>свыше 15 000 - до 20 000</t>
  </si>
  <si>
    <t>свыше 20 000 - до 30 000</t>
  </si>
  <si>
    <t>свыше 30 000 - до 40 000</t>
  </si>
  <si>
    <t>свыше 40 000 - до 60 000</t>
  </si>
  <si>
    <t>свыше 60 000 - до 100 000</t>
  </si>
  <si>
    <t>свыше 100 000- до 250 000</t>
  </si>
  <si>
    <t>свыше 250 000</t>
  </si>
  <si>
    <t>ВСЕГО взносов по кварталам:</t>
  </si>
  <si>
    <t>&lt;---- ИТОГО</t>
  </si>
  <si>
    <t>ВСЕГО аудиторских организаций:</t>
  </si>
  <si>
    <t>Контрольное число</t>
  </si>
  <si>
    <t>1-й квартал 2017 года</t>
  </si>
  <si>
    <t>2-й квартал 2017 года</t>
  </si>
  <si>
    <t>3-й квартал 2017 года</t>
  </si>
  <si>
    <t>4-й квартал 2017 года</t>
  </si>
  <si>
    <t>1-й квартал 2018 года</t>
  </si>
  <si>
    <t>2-й квартал 2018 года</t>
  </si>
  <si>
    <t>3-й квартал 2018 года</t>
  </si>
  <si>
    <t>4-й квартал 2018 года</t>
  </si>
  <si>
    <t>1-й квартал 2019 года</t>
  </si>
  <si>
    <t>2-й квартал 2019 года</t>
  </si>
  <si>
    <t>3-й квартал 2019 года</t>
  </si>
  <si>
    <t>4-й квартал 2019 года</t>
  </si>
  <si>
    <t>не оплатили</t>
  </si>
  <si>
    <t>члены СРО с 1 кв. 2019, не оплатившие ЧВ</t>
  </si>
  <si>
    <t>члены СРО со 2 кв. 2019, не оплатившие ЧВ</t>
  </si>
  <si>
    <t>члены СРО с 4 кв. 2019, не оплатившие ЧВ</t>
  </si>
  <si>
    <t>члены СРО с 3 кв. 2019, не оплатившие ЧВ</t>
  </si>
  <si>
    <t>&gt; 500 - до 1.000</t>
  </si>
  <si>
    <t>&gt; 1.000 - до 2.000</t>
  </si>
  <si>
    <t>&gt; 2.000 - до 3.000</t>
  </si>
  <si>
    <t>&gt; 3.000 - до 6.000</t>
  </si>
  <si>
    <t>&gt; 6.000 - до 10.000</t>
  </si>
  <si>
    <t>&gt; 10.000 - до 15.000</t>
  </si>
  <si>
    <t>&gt; 15.000 - до 20.000</t>
  </si>
  <si>
    <t>&gt; 20.000 - до 30.000</t>
  </si>
  <si>
    <t>&gt; 40.000 - до 60.000</t>
  </si>
  <si>
    <t>&gt; 30.000 - до 40.000</t>
  </si>
  <si>
    <t>&gt; 60.000 - до 100.000</t>
  </si>
  <si>
    <t>&gt; 100.000 - до 250.000</t>
  </si>
  <si>
    <t>&gt; 250.000 - до 750.000</t>
  </si>
  <si>
    <t>&gt; 750.000</t>
  </si>
  <si>
    <t>2023 год</t>
  </si>
  <si>
    <t>Размер ЧВ за квартал 2022 (руб.)</t>
  </si>
  <si>
    <t>Сумма взносов за квартал 2022</t>
  </si>
  <si>
    <t>Сумма взносов за квартал 2023</t>
  </si>
  <si>
    <t>Изменение 2023 к 2022</t>
  </si>
  <si>
    <t>Коэффициент</t>
  </si>
  <si>
    <t>Плата за 1 аудитора в квартал</t>
  </si>
  <si>
    <t>Плата за 1 АЗ в квартал</t>
  </si>
  <si>
    <t>Размер ежеквартального членского взноса аудиторской организации по сумме 3-х параметров</t>
  </si>
  <si>
    <t>Имитационная модель начисления ежеквартальных членских взносов для аудиторских организаций в 2023 году по сумме 3-х параметров</t>
  </si>
  <si>
    <t>Выданные Аудиторские заключения</t>
  </si>
  <si>
    <t>Выручка за предыдущий квартал по налоговому законодательству</t>
  </si>
  <si>
    <t>Аудиторы, привлеченные к работе АО по всем основаниям</t>
  </si>
  <si>
    <t>Выручка за предыдущий квартал (руб.)</t>
  </si>
  <si>
    <t>Размер (сумма) ЧВ за квартал 2023 (руб.)</t>
  </si>
  <si>
    <t>Часть №1 ЧВ от выручки</t>
  </si>
  <si>
    <t>Часть №2 ЧВ от выданных АЗ</t>
  </si>
  <si>
    <t>Кол-во аудиторов</t>
  </si>
  <si>
    <t>Часть №3 ЧВ от количества аудиторов</t>
  </si>
  <si>
    <t>Кол-во выданных АЗ (сред. в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</si>
</sst>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₽_-;\-* #,##0\ _₽_-;_-* &quot;-&quot;??\ _₽_-;_-@_-"/>
    <numFmt numFmtId="165" formatCode="0.0"/>
    <numFmt numFmtId="166" formatCode="#,##0\ &quot;₽&quot;"/>
    <numFmt numFmtId="167" formatCode="#,##0\ _₽"/>
    <numFmt numFmtId="168" formatCode="#,##0_ ;[Red]\-#,##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9"/>
      <color rgb="FF272727"/>
      <name val="Tahoma"/>
      <family val="2"/>
      <charset val="204"/>
    </font>
    <font>
      <sz val="12"/>
      <color rgb="FF272727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rgb="FF272727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/>
    <xf numFmtId="0" fontId="3" fillId="0" borderId="1" xfId="0" applyFont="1" applyBorder="1" applyAlignment="1">
      <alignment horizontal="justify" vertical="center" wrapText="1"/>
    </xf>
    <xf numFmtId="3" fontId="1" fillId="0" borderId="0" xfId="0" applyNumberFormat="1" applyFont="1"/>
    <xf numFmtId="0" fontId="3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right" vertical="center" wrapText="1" shrinkToFit="1"/>
    </xf>
    <xf numFmtId="164" fontId="7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4" fillId="0" borderId="0" xfId="0" applyNumberFormat="1" applyFont="1" applyFill="1"/>
    <xf numFmtId="0" fontId="1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9" fillId="0" borderId="0" xfId="0" applyFont="1" applyFill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 wrapText="1"/>
    </xf>
    <xf numFmtId="49" fontId="1" fillId="3" borderId="2" xfId="0" applyNumberFormat="1" applyFont="1" applyFill="1" applyBorder="1" applyAlignment="1">
      <alignment vertical="top" wrapText="1"/>
    </xf>
    <xf numFmtId="3" fontId="5" fillId="3" borderId="2" xfId="0" applyNumberFormat="1" applyFont="1" applyFill="1" applyBorder="1"/>
    <xf numFmtId="3" fontId="1" fillId="3" borderId="2" xfId="0" applyNumberFormat="1" applyFont="1" applyFill="1" applyBorder="1"/>
    <xf numFmtId="3" fontId="4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top" wrapText="1"/>
    </xf>
    <xf numFmtId="49" fontId="1" fillId="7" borderId="1" xfId="0" applyNumberFormat="1" applyFont="1" applyFill="1" applyBorder="1" applyAlignment="1">
      <alignment vertical="top" wrapText="1"/>
    </xf>
    <xf numFmtId="49" fontId="1" fillId="7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/>
    <xf numFmtId="167" fontId="4" fillId="6" borderId="1" xfId="0" applyNumberFormat="1" applyFont="1" applyFill="1" applyBorder="1"/>
    <xf numFmtId="164" fontId="13" fillId="4" borderId="1" xfId="0" applyNumberFormat="1" applyFont="1" applyFill="1" applyBorder="1" applyAlignment="1">
      <alignment horizontal="right" vertical="center" wrapText="1"/>
    </xf>
    <xf numFmtId="3" fontId="14" fillId="4" borderId="1" xfId="0" applyNumberFormat="1" applyFont="1" applyFill="1" applyBorder="1"/>
    <xf numFmtId="3" fontId="4" fillId="6" borderId="1" xfId="0" applyNumberFormat="1" applyFont="1" applyFill="1" applyBorder="1"/>
    <xf numFmtId="3" fontId="14" fillId="7" borderId="1" xfId="0" applyNumberFormat="1" applyFont="1" applyFill="1" applyBorder="1"/>
    <xf numFmtId="0" fontId="0" fillId="0" borderId="0" xfId="0" applyFill="1"/>
    <xf numFmtId="49" fontId="1" fillId="0" borderId="2" xfId="0" applyNumberFormat="1" applyFont="1" applyFill="1" applyBorder="1" applyAlignment="1">
      <alignment vertical="top" wrapText="1"/>
    </xf>
    <xf numFmtId="164" fontId="13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168" fontId="1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10" fontId="15" fillId="5" borderId="0" xfId="0" applyNumberFormat="1" applyFont="1" applyFill="1" applyBorder="1" applyAlignment="1" applyProtection="1">
      <alignment horizontal="center" vertical="center"/>
      <protection locked="0"/>
    </xf>
    <xf numFmtId="166" fontId="15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top" wrapText="1"/>
    </xf>
    <xf numFmtId="14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zoomScaleNormal="100" workbookViewId="0">
      <selection activeCell="N6" sqref="N6"/>
    </sheetView>
  </sheetViews>
  <sheetFormatPr defaultRowHeight="14.25" x14ac:dyDescent="0.45"/>
  <cols>
    <col min="2" max="2" width="32.19921875" customWidth="1"/>
    <col min="3" max="3" width="14.19921875" customWidth="1"/>
    <col min="4" max="4" width="4.46484375" customWidth="1"/>
    <col min="5" max="5" width="13.19921875" customWidth="1"/>
    <col min="6" max="6" width="14.796875" customWidth="1"/>
    <col min="7" max="7" width="4" customWidth="1"/>
    <col min="8" max="8" width="13.796875" customWidth="1"/>
    <col min="9" max="9" width="18.46484375" customWidth="1"/>
    <col min="10" max="10" width="4.796875" customWidth="1"/>
    <col min="11" max="11" width="14" customWidth="1"/>
    <col min="12" max="12" width="18.46484375" customWidth="1"/>
    <col min="13" max="13" width="4.53125" customWidth="1"/>
    <col min="14" max="14" width="13.796875" customWidth="1"/>
    <col min="15" max="15" width="21.46484375" customWidth="1"/>
    <col min="16" max="16" width="5.46484375" customWidth="1"/>
    <col min="17" max="17" width="34.19921875" customWidth="1"/>
  </cols>
  <sheetData>
    <row r="1" spans="1:15" ht="15.4" x14ac:dyDescent="0.45"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4" x14ac:dyDescent="0.45">
      <c r="A2" s="2"/>
      <c r="B2" s="2"/>
      <c r="C2" s="2"/>
      <c r="D2" s="3"/>
      <c r="E2" s="69" t="s">
        <v>23</v>
      </c>
      <c r="F2" s="69"/>
      <c r="G2" s="4"/>
      <c r="H2" s="69" t="s">
        <v>24</v>
      </c>
      <c r="I2" s="69"/>
      <c r="J2" s="4"/>
      <c r="K2" s="69" t="s">
        <v>25</v>
      </c>
      <c r="L2" s="69"/>
      <c r="M2" s="4"/>
      <c r="N2" s="69" t="s">
        <v>26</v>
      </c>
      <c r="O2" s="69"/>
    </row>
    <row r="3" spans="1:15" ht="80" customHeight="1" x14ac:dyDescent="0.45">
      <c r="A3" s="5" t="s">
        <v>0</v>
      </c>
      <c r="B3" s="6" t="s">
        <v>1</v>
      </c>
      <c r="C3" s="7" t="s">
        <v>2</v>
      </c>
      <c r="D3" s="3"/>
      <c r="E3" s="7" t="s">
        <v>3</v>
      </c>
      <c r="F3" s="7" t="s">
        <v>4</v>
      </c>
      <c r="G3" s="4"/>
      <c r="H3" s="7" t="s">
        <v>3</v>
      </c>
      <c r="I3" s="7" t="s">
        <v>4</v>
      </c>
      <c r="J3" s="4"/>
      <c r="K3" s="7" t="s">
        <v>3</v>
      </c>
      <c r="L3" s="7" t="s">
        <v>4</v>
      </c>
      <c r="M3" s="4"/>
      <c r="N3" s="7" t="s">
        <v>3</v>
      </c>
      <c r="O3" s="7" t="s">
        <v>4</v>
      </c>
    </row>
    <row r="4" spans="1:15" ht="15.4" x14ac:dyDescent="0.45">
      <c r="A4" s="8">
        <v>1</v>
      </c>
      <c r="B4" s="6" t="s">
        <v>5</v>
      </c>
      <c r="C4" s="9">
        <v>2200</v>
      </c>
      <c r="D4" s="3"/>
      <c r="E4" s="10">
        <f>3+969+4+1+8+1+1+1+(11-2)+1+1+1+1+1+1+1+1+1</f>
        <v>1006</v>
      </c>
      <c r="F4" s="10">
        <f t="shared" ref="F4:F5" si="0">C4*E4</f>
        <v>2213200</v>
      </c>
      <c r="G4" s="4"/>
      <c r="H4" s="10">
        <f>1+1+1+1+4+937+5+2+8+2+1+4+1+1</f>
        <v>969</v>
      </c>
      <c r="I4" s="10">
        <f t="shared" ref="I4" si="1">C4*H4</f>
        <v>2131800</v>
      </c>
      <c r="J4" s="4"/>
      <c r="K4" s="10">
        <f>1+1+1+1+1+3+1+974-1+2+1+6+1+5+1+1+1</f>
        <v>1000</v>
      </c>
      <c r="L4" s="10">
        <f>C4*K4</f>
        <v>2200000</v>
      </c>
      <c r="M4" s="4"/>
      <c r="N4" s="10">
        <f>1+1+1+1+1+3+1+1+1+1+1+995-1+5+7+1+1+1+2+2+2+2+11+4+4+2+1+1+1+1+1+1+1+1+1</f>
        <v>1060</v>
      </c>
      <c r="O4" s="10">
        <f>C4*N4</f>
        <v>2332000</v>
      </c>
    </row>
    <row r="5" spans="1:15" ht="15.4" x14ac:dyDescent="0.45">
      <c r="A5" s="8">
        <v>2</v>
      </c>
      <c r="B5" s="11" t="s">
        <v>6</v>
      </c>
      <c r="C5" s="9">
        <v>3000</v>
      </c>
      <c r="D5" s="3"/>
      <c r="E5" s="10">
        <f>1+1+1+1+1+1+3+401+1+3+2+1+1+2+1</f>
        <v>421</v>
      </c>
      <c r="F5" s="10">
        <f t="shared" si="0"/>
        <v>1263000</v>
      </c>
      <c r="G5" s="4"/>
      <c r="H5" s="10">
        <f>1+1+1+1+1+1+1+1+1+1+1+393+1+1+1+1+1+1+1</f>
        <v>411</v>
      </c>
      <c r="I5" s="10">
        <f t="shared" ref="I5:I17" si="2">C5*H5</f>
        <v>1233000</v>
      </c>
      <c r="J5" s="4"/>
      <c r="K5" s="10">
        <f>1+1+1+1+1+1+1+1+1+370-3+1+1+1+1+1+1+1</f>
        <v>383</v>
      </c>
      <c r="L5" s="10">
        <f t="shared" ref="L5" si="3">C5*K5</f>
        <v>1149000</v>
      </c>
      <c r="M5" s="4"/>
      <c r="N5" s="10">
        <f>1+1+1+1+1+1+1+367-1+1+1+1+1+1+3+3+1+2+1+1+1+1+1+2+1</f>
        <v>395</v>
      </c>
      <c r="O5" s="10">
        <f t="shared" ref="O5:O17" si="4">C5*N5</f>
        <v>1185000</v>
      </c>
    </row>
    <row r="6" spans="1:15" ht="15.4" x14ac:dyDescent="0.45">
      <c r="A6" s="8">
        <v>3</v>
      </c>
      <c r="B6" s="11" t="s">
        <v>7</v>
      </c>
      <c r="C6" s="9">
        <v>4000</v>
      </c>
      <c r="D6" s="3"/>
      <c r="E6" s="10">
        <f>1+1+284+2+1+1+1+1+1+1+1</f>
        <v>295</v>
      </c>
      <c r="F6" s="10">
        <f t="shared" ref="F6:F17" si="5">C6*E6</f>
        <v>1180000</v>
      </c>
      <c r="G6" s="4"/>
      <c r="H6" s="10">
        <f>1+1+345+1</f>
        <v>348</v>
      </c>
      <c r="I6" s="10">
        <f t="shared" si="2"/>
        <v>1392000</v>
      </c>
      <c r="J6" s="4"/>
      <c r="K6" s="10">
        <f>1+1+1+1+311-1+4+1+1+1+1</f>
        <v>322</v>
      </c>
      <c r="L6" s="10">
        <f t="shared" ref="L6:L17" si="6">C6*K6</f>
        <v>1288000</v>
      </c>
      <c r="M6" s="4"/>
      <c r="N6" s="10">
        <f>1+1+256-2+1+1+1+1+1+1+1+1+1+1+5+1+1+1</f>
        <v>274</v>
      </c>
      <c r="O6" s="10">
        <f t="shared" si="4"/>
        <v>1096000</v>
      </c>
    </row>
    <row r="7" spans="1:15" ht="15.4" x14ac:dyDescent="0.45">
      <c r="A7" s="8">
        <v>4</v>
      </c>
      <c r="B7" s="11" t="s">
        <v>8</v>
      </c>
      <c r="C7" s="9">
        <v>5000</v>
      </c>
      <c r="D7" s="3"/>
      <c r="E7" s="10">
        <f>1+1+129+1+1+1+1</f>
        <v>135</v>
      </c>
      <c r="F7" s="10">
        <f t="shared" si="5"/>
        <v>675000</v>
      </c>
      <c r="G7" s="4"/>
      <c r="H7" s="10">
        <f>1+117+1+1+1</f>
        <v>121</v>
      </c>
      <c r="I7" s="10">
        <f t="shared" si="2"/>
        <v>605000</v>
      </c>
      <c r="J7" s="4"/>
      <c r="K7" s="10">
        <f>139+3+1+1</f>
        <v>144</v>
      </c>
      <c r="L7" s="10">
        <f t="shared" si="6"/>
        <v>720000</v>
      </c>
      <c r="M7" s="4"/>
      <c r="N7" s="10">
        <f>1+1+1+107+1+1+1+1+1+1+4+1+1+2</f>
        <v>124</v>
      </c>
      <c r="O7" s="10">
        <f t="shared" si="4"/>
        <v>620000</v>
      </c>
    </row>
    <row r="8" spans="1:15" ht="15.4" x14ac:dyDescent="0.45">
      <c r="A8" s="8">
        <v>5</v>
      </c>
      <c r="B8" s="11" t="s">
        <v>9</v>
      </c>
      <c r="C8" s="9">
        <v>7000</v>
      </c>
      <c r="D8" s="3"/>
      <c r="E8" s="10">
        <f>114+1+1+1+1</f>
        <v>118</v>
      </c>
      <c r="F8" s="10">
        <f t="shared" si="5"/>
        <v>826000</v>
      </c>
      <c r="G8" s="4"/>
      <c r="H8" s="10">
        <f>120+1+1+2</f>
        <v>124</v>
      </c>
      <c r="I8" s="10">
        <f t="shared" si="2"/>
        <v>868000</v>
      </c>
      <c r="J8" s="4"/>
      <c r="K8" s="10">
        <f>1+114+2+1+1+1</f>
        <v>120</v>
      </c>
      <c r="L8" s="10">
        <f t="shared" si="6"/>
        <v>840000</v>
      </c>
      <c r="M8" s="4"/>
      <c r="N8" s="10">
        <f>1+107+1+5+1+1+1</f>
        <v>117</v>
      </c>
      <c r="O8" s="10">
        <f t="shared" si="4"/>
        <v>819000</v>
      </c>
    </row>
    <row r="9" spans="1:15" ht="15.4" x14ac:dyDescent="0.45">
      <c r="A9" s="8">
        <v>6</v>
      </c>
      <c r="B9" s="11" t="s">
        <v>10</v>
      </c>
      <c r="C9" s="9">
        <v>10000</v>
      </c>
      <c r="D9" s="3"/>
      <c r="E9" s="10">
        <f>36+1+1</f>
        <v>38</v>
      </c>
      <c r="F9" s="10">
        <f t="shared" si="5"/>
        <v>380000</v>
      </c>
      <c r="G9" s="4"/>
      <c r="H9" s="10">
        <f>1+50+1</f>
        <v>52</v>
      </c>
      <c r="I9" s="10">
        <f t="shared" si="2"/>
        <v>520000</v>
      </c>
      <c r="J9" s="4"/>
      <c r="K9" s="10">
        <f>1+43+1</f>
        <v>45</v>
      </c>
      <c r="L9" s="10">
        <f t="shared" si="6"/>
        <v>450000</v>
      </c>
      <c r="M9" s="4"/>
      <c r="N9" s="10">
        <f>36+1+1+1+1+1</f>
        <v>41</v>
      </c>
      <c r="O9" s="10">
        <f t="shared" si="4"/>
        <v>410000</v>
      </c>
    </row>
    <row r="10" spans="1:15" ht="15.4" x14ac:dyDescent="0.45">
      <c r="A10" s="8">
        <v>7</v>
      </c>
      <c r="B10" s="11" t="s">
        <v>11</v>
      </c>
      <c r="C10" s="9">
        <v>15000</v>
      </c>
      <c r="D10" s="3"/>
      <c r="E10" s="10">
        <v>26</v>
      </c>
      <c r="F10" s="10">
        <f t="shared" si="5"/>
        <v>390000</v>
      </c>
      <c r="G10" s="4"/>
      <c r="H10" s="10">
        <v>23</v>
      </c>
      <c r="I10" s="10">
        <f t="shared" si="2"/>
        <v>345000</v>
      </c>
      <c r="J10" s="4"/>
      <c r="K10" s="10">
        <v>16</v>
      </c>
      <c r="L10" s="10">
        <f t="shared" si="6"/>
        <v>240000</v>
      </c>
      <c r="M10" s="4"/>
      <c r="N10" s="10">
        <f>14+1+1</f>
        <v>16</v>
      </c>
      <c r="O10" s="10">
        <f t="shared" si="4"/>
        <v>240000</v>
      </c>
    </row>
    <row r="11" spans="1:15" ht="15.4" x14ac:dyDescent="0.45">
      <c r="A11" s="8">
        <v>8</v>
      </c>
      <c r="B11" s="11" t="s">
        <v>12</v>
      </c>
      <c r="C11" s="9">
        <v>20000</v>
      </c>
      <c r="D11" s="3"/>
      <c r="E11" s="10">
        <v>9</v>
      </c>
      <c r="F11" s="10">
        <f t="shared" si="5"/>
        <v>180000</v>
      </c>
      <c r="G11" s="4"/>
      <c r="H11" s="10">
        <v>11</v>
      </c>
      <c r="I11" s="10">
        <f t="shared" si="2"/>
        <v>220000</v>
      </c>
      <c r="J11" s="4"/>
      <c r="K11" s="10">
        <f>1+1+1+7</f>
        <v>10</v>
      </c>
      <c r="L11" s="10">
        <f t="shared" si="6"/>
        <v>200000</v>
      </c>
      <c r="M11" s="4"/>
      <c r="N11" s="10">
        <f>3+1</f>
        <v>4</v>
      </c>
      <c r="O11" s="10">
        <f t="shared" si="4"/>
        <v>80000</v>
      </c>
    </row>
    <row r="12" spans="1:15" ht="15.4" x14ac:dyDescent="0.45">
      <c r="A12" s="8">
        <v>9</v>
      </c>
      <c r="B12" s="11" t="s">
        <v>13</v>
      </c>
      <c r="C12" s="9">
        <v>30000</v>
      </c>
      <c r="D12" s="3"/>
      <c r="E12" s="10">
        <v>10</v>
      </c>
      <c r="F12" s="10">
        <f t="shared" si="5"/>
        <v>300000</v>
      </c>
      <c r="G12" s="4"/>
      <c r="H12" s="10">
        <v>4</v>
      </c>
      <c r="I12" s="10">
        <f t="shared" si="2"/>
        <v>120000</v>
      </c>
      <c r="J12" s="4"/>
      <c r="K12" s="10">
        <f>6+1+1</f>
        <v>8</v>
      </c>
      <c r="L12" s="10">
        <f t="shared" si="6"/>
        <v>240000</v>
      </c>
      <c r="M12" s="4"/>
      <c r="N12" s="10">
        <f>5+1</f>
        <v>6</v>
      </c>
      <c r="O12" s="10">
        <f t="shared" si="4"/>
        <v>180000</v>
      </c>
    </row>
    <row r="13" spans="1:15" ht="15.4" x14ac:dyDescent="0.45">
      <c r="A13" s="8">
        <v>10</v>
      </c>
      <c r="B13" s="11" t="s">
        <v>14</v>
      </c>
      <c r="C13" s="9">
        <v>35000</v>
      </c>
      <c r="D13" s="3"/>
      <c r="E13" s="10">
        <v>1</v>
      </c>
      <c r="F13" s="10">
        <f t="shared" si="5"/>
        <v>35000</v>
      </c>
      <c r="G13" s="4"/>
      <c r="H13" s="10">
        <v>2</v>
      </c>
      <c r="I13" s="10">
        <f t="shared" si="2"/>
        <v>70000</v>
      </c>
      <c r="J13" s="4"/>
      <c r="K13" s="10">
        <v>1</v>
      </c>
      <c r="L13" s="10">
        <f t="shared" si="6"/>
        <v>35000</v>
      </c>
      <c r="M13" s="4"/>
      <c r="N13" s="10">
        <v>1</v>
      </c>
      <c r="O13" s="10">
        <f t="shared" si="4"/>
        <v>35000</v>
      </c>
    </row>
    <row r="14" spans="1:15" ht="15.4" x14ac:dyDescent="0.45">
      <c r="A14" s="8">
        <v>11</v>
      </c>
      <c r="B14" s="11" t="s">
        <v>15</v>
      </c>
      <c r="C14" s="9">
        <v>50000</v>
      </c>
      <c r="D14" s="3"/>
      <c r="E14" s="10">
        <v>0</v>
      </c>
      <c r="F14" s="10">
        <f t="shared" si="5"/>
        <v>0</v>
      </c>
      <c r="G14" s="4"/>
      <c r="H14" s="10">
        <v>5</v>
      </c>
      <c r="I14" s="10">
        <f t="shared" si="2"/>
        <v>250000</v>
      </c>
      <c r="J14" s="4"/>
      <c r="K14" s="10">
        <v>3</v>
      </c>
      <c r="L14" s="10">
        <f t="shared" si="6"/>
        <v>150000</v>
      </c>
      <c r="M14" s="4"/>
      <c r="N14" s="10">
        <f>2+1</f>
        <v>3</v>
      </c>
      <c r="O14" s="10">
        <f t="shared" si="4"/>
        <v>150000</v>
      </c>
    </row>
    <row r="15" spans="1:15" ht="15.4" x14ac:dyDescent="0.45">
      <c r="A15" s="8">
        <v>12</v>
      </c>
      <c r="B15" s="11" t="s">
        <v>16</v>
      </c>
      <c r="C15" s="9">
        <v>80000</v>
      </c>
      <c r="D15" s="3"/>
      <c r="E15" s="10">
        <f>2+1+1</f>
        <v>4</v>
      </c>
      <c r="F15" s="10">
        <f t="shared" si="5"/>
        <v>320000</v>
      </c>
      <c r="G15" s="4"/>
      <c r="H15" s="10">
        <v>2</v>
      </c>
      <c r="I15" s="10">
        <f t="shared" si="2"/>
        <v>160000</v>
      </c>
      <c r="J15" s="4"/>
      <c r="K15" s="10">
        <v>3</v>
      </c>
      <c r="L15" s="10">
        <f t="shared" si="6"/>
        <v>240000</v>
      </c>
      <c r="M15" s="4"/>
      <c r="N15" s="10">
        <v>1</v>
      </c>
      <c r="O15" s="10">
        <f t="shared" si="4"/>
        <v>80000</v>
      </c>
    </row>
    <row r="16" spans="1:15" ht="15.4" x14ac:dyDescent="0.45">
      <c r="A16" s="8">
        <v>13</v>
      </c>
      <c r="B16" s="11" t="s">
        <v>17</v>
      </c>
      <c r="C16" s="27">
        <v>150000</v>
      </c>
      <c r="D16" s="3"/>
      <c r="E16" s="10">
        <v>2</v>
      </c>
      <c r="F16" s="10">
        <f t="shared" si="5"/>
        <v>300000</v>
      </c>
      <c r="G16" s="4"/>
      <c r="H16" s="10">
        <v>2</v>
      </c>
      <c r="I16" s="10">
        <f t="shared" si="2"/>
        <v>300000</v>
      </c>
      <c r="J16" s="4"/>
      <c r="K16" s="10">
        <v>2</v>
      </c>
      <c r="L16" s="10">
        <f t="shared" si="6"/>
        <v>300000</v>
      </c>
      <c r="M16" s="4"/>
      <c r="N16" s="10">
        <v>1</v>
      </c>
      <c r="O16" s="10">
        <f t="shared" si="4"/>
        <v>150000</v>
      </c>
    </row>
    <row r="17" spans="1:17" ht="15.4" x14ac:dyDescent="0.45">
      <c r="A17" s="8">
        <v>14</v>
      </c>
      <c r="B17" s="11" t="s">
        <v>18</v>
      </c>
      <c r="C17" s="27">
        <v>180000</v>
      </c>
      <c r="D17" s="3"/>
      <c r="E17" s="10">
        <v>2</v>
      </c>
      <c r="F17" s="10">
        <f t="shared" si="5"/>
        <v>360000</v>
      </c>
      <c r="G17" s="4"/>
      <c r="H17" s="10">
        <v>1</v>
      </c>
      <c r="I17" s="10">
        <f t="shared" si="2"/>
        <v>180000</v>
      </c>
      <c r="J17" s="4"/>
      <c r="K17" s="10">
        <v>1</v>
      </c>
      <c r="L17" s="10">
        <f t="shared" si="6"/>
        <v>180000</v>
      </c>
      <c r="M17" s="4"/>
      <c r="N17" s="10">
        <v>0</v>
      </c>
      <c r="O17" s="10">
        <f t="shared" si="4"/>
        <v>0</v>
      </c>
    </row>
    <row r="18" spans="1:17" ht="15.4" x14ac:dyDescent="0.45">
      <c r="E18" s="12"/>
      <c r="F18" s="12"/>
      <c r="G18" s="1"/>
      <c r="H18" s="12"/>
      <c r="I18" s="12"/>
      <c r="J18" s="1"/>
      <c r="K18" s="12"/>
      <c r="L18" s="12"/>
      <c r="M18" s="1"/>
      <c r="N18" s="12"/>
      <c r="O18" s="12"/>
    </row>
    <row r="19" spans="1:17" ht="15.4" x14ac:dyDescent="0.45">
      <c r="B19" s="13" t="s">
        <v>19</v>
      </c>
      <c r="E19" s="14"/>
      <c r="F19" s="14">
        <f>SUM(F4:F17)</f>
        <v>8422200</v>
      </c>
      <c r="G19" s="1"/>
      <c r="H19" s="14"/>
      <c r="I19" s="14">
        <f>SUM(I4:I17)</f>
        <v>8394800</v>
      </c>
      <c r="J19" s="1"/>
      <c r="K19" s="14"/>
      <c r="L19" s="14">
        <f>SUM(L4:L17)</f>
        <v>8232000</v>
      </c>
      <c r="M19" s="1"/>
      <c r="N19" s="14"/>
      <c r="O19" s="14">
        <f>SUM(O4:O17)</f>
        <v>7377000</v>
      </c>
      <c r="Q19" s="15"/>
    </row>
    <row r="20" spans="1:17" ht="15.4" x14ac:dyDescent="0.45">
      <c r="B20" s="16">
        <f>SUM(F19+I19+L19+O19)</f>
        <v>32426000</v>
      </c>
      <c r="C20" s="17" t="s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 ht="15.4" x14ac:dyDescent="0.4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7" ht="15.4" x14ac:dyDescent="0.45">
      <c r="B22" s="13" t="s">
        <v>21</v>
      </c>
      <c r="E22" s="12">
        <f>SUM(E4:E17)</f>
        <v>2067</v>
      </c>
      <c r="F22" s="1"/>
      <c r="G22" s="1"/>
      <c r="H22" s="1">
        <f>SUM(H4:H17)</f>
        <v>2075</v>
      </c>
      <c r="I22" s="1"/>
      <c r="J22" s="1"/>
      <c r="K22" s="1">
        <f>SUM(K4:K17)</f>
        <v>2058</v>
      </c>
      <c r="L22" s="1"/>
      <c r="M22" s="1"/>
      <c r="N22" s="1">
        <f>SUM(N4:N17)</f>
        <v>2043</v>
      </c>
      <c r="O22" s="1"/>
    </row>
    <row r="23" spans="1:17" ht="15.4" x14ac:dyDescent="0.4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ht="15.4" x14ac:dyDescent="0.45">
      <c r="B24" s="1" t="s">
        <v>22</v>
      </c>
      <c r="E24" s="1"/>
      <c r="F24" s="1"/>
      <c r="G24" s="1"/>
      <c r="H24" s="1">
        <v>3410</v>
      </c>
      <c r="I24" s="1"/>
      <c r="J24" s="1"/>
      <c r="K24" s="1"/>
      <c r="L24" s="1"/>
      <c r="M24" s="1"/>
      <c r="N24" s="1"/>
      <c r="O24" s="1"/>
    </row>
    <row r="25" spans="1:17" ht="15.4" x14ac:dyDescent="0.45">
      <c r="B25" s="1">
        <v>3410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ht="15.4" x14ac:dyDescent="0.4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mergeCells count="4">
    <mergeCell ref="E2:F2"/>
    <mergeCell ref="H2:I2"/>
    <mergeCell ref="K2:L2"/>
    <mergeCell ref="N2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zoomScaleNormal="100" workbookViewId="0">
      <selection activeCell="N5" sqref="N5"/>
    </sheetView>
  </sheetViews>
  <sheetFormatPr defaultRowHeight="14.25" x14ac:dyDescent="0.45"/>
  <cols>
    <col min="2" max="2" width="32.19921875" customWidth="1"/>
    <col min="3" max="3" width="14.19921875" customWidth="1"/>
    <col min="4" max="4" width="6.46484375" customWidth="1"/>
    <col min="5" max="5" width="13.19921875" customWidth="1"/>
    <col min="6" max="6" width="14.796875" customWidth="1"/>
    <col min="7" max="7" width="4" customWidth="1"/>
    <col min="8" max="8" width="13.796875" customWidth="1"/>
    <col min="9" max="9" width="18.46484375" customWidth="1"/>
    <col min="10" max="10" width="4.796875" customWidth="1"/>
    <col min="11" max="11" width="14" customWidth="1"/>
    <col min="12" max="12" width="18.46484375" customWidth="1"/>
    <col min="13" max="13" width="4.53125" customWidth="1"/>
    <col min="14" max="14" width="13.796875" customWidth="1"/>
    <col min="15" max="15" width="21.46484375" customWidth="1"/>
    <col min="16" max="16" width="5.46484375" customWidth="1"/>
    <col min="17" max="17" width="34.19921875" customWidth="1"/>
  </cols>
  <sheetData>
    <row r="1" spans="1:15" ht="15.4" x14ac:dyDescent="0.45"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4" x14ac:dyDescent="0.45">
      <c r="A2" s="2"/>
      <c r="B2" s="2"/>
      <c r="C2" s="2"/>
      <c r="D2" s="3"/>
      <c r="E2" s="69" t="s">
        <v>27</v>
      </c>
      <c r="F2" s="69"/>
      <c r="G2" s="4"/>
      <c r="H2" s="69" t="s">
        <v>28</v>
      </c>
      <c r="I2" s="69"/>
      <c r="J2" s="4"/>
      <c r="K2" s="69" t="s">
        <v>29</v>
      </c>
      <c r="L2" s="69"/>
      <c r="M2" s="4"/>
      <c r="N2" s="69" t="s">
        <v>30</v>
      </c>
      <c r="O2" s="69"/>
    </row>
    <row r="3" spans="1:15" ht="80" customHeight="1" x14ac:dyDescent="0.45">
      <c r="A3" s="5" t="s">
        <v>0</v>
      </c>
      <c r="B3" s="6" t="s">
        <v>1</v>
      </c>
      <c r="C3" s="7" t="s">
        <v>2</v>
      </c>
      <c r="D3" s="3"/>
      <c r="E3" s="7" t="s">
        <v>3</v>
      </c>
      <c r="F3" s="7" t="s">
        <v>4</v>
      </c>
      <c r="G3" s="4"/>
      <c r="H3" s="7" t="s">
        <v>3</v>
      </c>
      <c r="I3" s="7" t="s">
        <v>4</v>
      </c>
      <c r="J3" s="4"/>
      <c r="K3" s="7" t="s">
        <v>3</v>
      </c>
      <c r="L3" s="7" t="s">
        <v>4</v>
      </c>
      <c r="M3" s="4"/>
      <c r="N3" s="7" t="s">
        <v>3</v>
      </c>
      <c r="O3" s="7" t="s">
        <v>4</v>
      </c>
    </row>
    <row r="4" spans="1:15" ht="15.4" x14ac:dyDescent="0.45">
      <c r="A4" s="8">
        <v>1</v>
      </c>
      <c r="B4" s="6" t="s">
        <v>5</v>
      </c>
      <c r="C4" s="9">
        <v>2200</v>
      </c>
      <c r="D4" s="3"/>
      <c r="E4" s="10">
        <f>1+1+8+880+21+1-1-1+1+3</f>
        <v>914</v>
      </c>
      <c r="F4" s="10">
        <f t="shared" ref="F4:F17" si="0">C4*E4</f>
        <v>2010800</v>
      </c>
      <c r="G4" s="4"/>
      <c r="H4" s="10">
        <f>11+877+14+1+1+4+1+1+1-1-1+1+2</f>
        <v>912</v>
      </c>
      <c r="I4" s="10">
        <f t="shared" ref="I4:I17" si="1">C4*H4</f>
        <v>2006400</v>
      </c>
      <c r="J4" s="4"/>
      <c r="K4" s="10">
        <f>13+854+1+1+4+3+6+1+1+1+1+1-1-1+1+4</f>
        <v>890</v>
      </c>
      <c r="L4" s="10">
        <f>C4*K4</f>
        <v>1958000</v>
      </c>
      <c r="M4" s="4"/>
      <c r="N4" s="10">
        <f>1+1+1+1+1+17+(929-2)+1+4+1+3+4+2+1+4+2+16+1+1+3+3+1+1+1+1+1+1+1+1+2+5+1</f>
        <v>1011</v>
      </c>
      <c r="O4" s="10">
        <f>C4*N4</f>
        <v>2224200</v>
      </c>
    </row>
    <row r="5" spans="1:15" ht="15.4" x14ac:dyDescent="0.45">
      <c r="A5" s="8">
        <v>2</v>
      </c>
      <c r="B5" s="11" t="s">
        <v>6</v>
      </c>
      <c r="C5" s="9">
        <v>3000</v>
      </c>
      <c r="D5" s="3"/>
      <c r="E5" s="10">
        <f>1+2+1+17+3+5+336-1+1</f>
        <v>365</v>
      </c>
      <c r="F5" s="10">
        <f t="shared" si="0"/>
        <v>1095000</v>
      </c>
      <c r="G5" s="4"/>
      <c r="H5" s="10">
        <f>352+2+1+1+1+1+1+1-1+1+1</f>
        <v>361</v>
      </c>
      <c r="I5" s="10">
        <f t="shared" si="1"/>
        <v>1083000</v>
      </c>
      <c r="J5" s="4"/>
      <c r="K5" s="10">
        <f>367+1+2+1-1</f>
        <v>370</v>
      </c>
      <c r="L5" s="10">
        <f t="shared" ref="L5:L17" si="2">C5*K5</f>
        <v>1110000</v>
      </c>
      <c r="M5" s="4"/>
      <c r="N5" s="10">
        <f>1+1+1+1+337+2+2+1+3+1+1+1+3+1+2+1</f>
        <v>359</v>
      </c>
      <c r="O5" s="10">
        <f t="shared" ref="O5:O17" si="3">C5*N5</f>
        <v>1077000</v>
      </c>
    </row>
    <row r="6" spans="1:15" ht="15.4" x14ac:dyDescent="0.45">
      <c r="A6" s="8">
        <v>3</v>
      </c>
      <c r="B6" s="11" t="s">
        <v>7</v>
      </c>
      <c r="C6" s="9">
        <v>4000</v>
      </c>
      <c r="D6" s="3"/>
      <c r="E6" s="10">
        <f>2+2+3+271+1+1+1</f>
        <v>281</v>
      </c>
      <c r="F6" s="10">
        <f t="shared" si="0"/>
        <v>1124000</v>
      </c>
      <c r="G6" s="4"/>
      <c r="H6" s="10">
        <f>307+1+1+1+2</f>
        <v>312</v>
      </c>
      <c r="I6" s="10">
        <f t="shared" si="1"/>
        <v>1248000</v>
      </c>
      <c r="J6" s="4"/>
      <c r="K6" s="10">
        <f>299+2+2+1+1+1+1+1+1+1+1+1+1+1</f>
        <v>314</v>
      </c>
      <c r="L6" s="10">
        <f t="shared" si="2"/>
        <v>1256000</v>
      </c>
      <c r="M6" s="4"/>
      <c r="N6" s="10">
        <f>1+1+1+1+1+1+1+1+1+1+1+247+2+4+1+1+4+1+2+1+1</f>
        <v>275</v>
      </c>
      <c r="O6" s="10">
        <f t="shared" si="3"/>
        <v>1100000</v>
      </c>
    </row>
    <row r="7" spans="1:15" ht="15.4" x14ac:dyDescent="0.45">
      <c r="A7" s="8">
        <v>4</v>
      </c>
      <c r="B7" s="11" t="s">
        <v>8</v>
      </c>
      <c r="C7" s="9">
        <v>5000</v>
      </c>
      <c r="D7" s="3"/>
      <c r="E7" s="10">
        <f>2+3+5+136+4+5+1</f>
        <v>156</v>
      </c>
      <c r="F7" s="10">
        <f t="shared" si="0"/>
        <v>780000</v>
      </c>
      <c r="G7" s="4"/>
      <c r="H7" s="10">
        <f>6+147+1+1+1+1+1+1+1</f>
        <v>160</v>
      </c>
      <c r="I7" s="10">
        <f t="shared" si="1"/>
        <v>800000</v>
      </c>
      <c r="J7" s="4"/>
      <c r="K7" s="10">
        <f>1+1+1+1+130+2+1+1+1+2+1+1+2</f>
        <v>145</v>
      </c>
      <c r="L7" s="10">
        <f t="shared" si="2"/>
        <v>725000</v>
      </c>
      <c r="M7" s="4"/>
      <c r="N7" s="10">
        <f>1+1+(84-2)+3+1+1+1</f>
        <v>90</v>
      </c>
      <c r="O7" s="10">
        <f t="shared" si="3"/>
        <v>450000</v>
      </c>
    </row>
    <row r="8" spans="1:15" ht="15.4" x14ac:dyDescent="0.45">
      <c r="A8" s="8">
        <v>5</v>
      </c>
      <c r="B8" s="11" t="s">
        <v>9</v>
      </c>
      <c r="C8" s="9">
        <v>7000</v>
      </c>
      <c r="D8" s="3"/>
      <c r="E8" s="10">
        <f>1+7+2+3+1+1+119+2+13+1+1</f>
        <v>151</v>
      </c>
      <c r="F8" s="10">
        <f t="shared" si="0"/>
        <v>1057000</v>
      </c>
      <c r="G8" s="4"/>
      <c r="H8" s="10">
        <f>1+1+114+1+1+1+1</f>
        <v>120</v>
      </c>
      <c r="I8" s="10">
        <f t="shared" si="1"/>
        <v>840000</v>
      </c>
      <c r="J8" s="4"/>
      <c r="K8" s="10">
        <f>1+1+1+113+1+1+1+1</f>
        <v>120</v>
      </c>
      <c r="L8" s="10">
        <f t="shared" si="2"/>
        <v>840000</v>
      </c>
      <c r="M8" s="4"/>
      <c r="N8" s="10">
        <f>1+1+(108-2)+7+1+1+1+1+1</f>
        <v>120</v>
      </c>
      <c r="O8" s="10">
        <f t="shared" si="3"/>
        <v>840000</v>
      </c>
    </row>
    <row r="9" spans="1:15" ht="15.4" x14ac:dyDescent="0.45">
      <c r="A9" s="8">
        <v>6</v>
      </c>
      <c r="B9" s="11" t="s">
        <v>10</v>
      </c>
      <c r="C9" s="9">
        <v>10000</v>
      </c>
      <c r="D9" s="3"/>
      <c r="E9" s="10">
        <f>1+1+1+1+1+1+47+6</f>
        <v>59</v>
      </c>
      <c r="F9" s="10">
        <f t="shared" si="0"/>
        <v>590000</v>
      </c>
      <c r="G9" s="4"/>
      <c r="H9" s="10">
        <f>1+1+48+1</f>
        <v>51</v>
      </c>
      <c r="I9" s="10">
        <f t="shared" si="1"/>
        <v>510000</v>
      </c>
      <c r="J9" s="4"/>
      <c r="K9" s="10">
        <f>1+1+1+42+1-1</f>
        <v>45</v>
      </c>
      <c r="L9" s="10">
        <f t="shared" si="2"/>
        <v>450000</v>
      </c>
      <c r="M9" s="4"/>
      <c r="N9" s="10">
        <f>1+35+1+1+1+1</f>
        <v>40</v>
      </c>
      <c r="O9" s="10">
        <f t="shared" si="3"/>
        <v>400000</v>
      </c>
    </row>
    <row r="10" spans="1:15" ht="15.4" x14ac:dyDescent="0.45">
      <c r="A10" s="8">
        <v>7</v>
      </c>
      <c r="B10" s="11" t="s">
        <v>11</v>
      </c>
      <c r="C10" s="9">
        <v>15000</v>
      </c>
      <c r="D10" s="3"/>
      <c r="E10" s="10">
        <f>1+1+13+1</f>
        <v>16</v>
      </c>
      <c r="F10" s="10">
        <f t="shared" si="0"/>
        <v>240000</v>
      </c>
      <c r="G10" s="4"/>
      <c r="H10" s="10">
        <f>1+15</f>
        <v>16</v>
      </c>
      <c r="I10" s="10">
        <f t="shared" si="1"/>
        <v>240000</v>
      </c>
      <c r="J10" s="4"/>
      <c r="K10" s="10">
        <f>17+1</f>
        <v>18</v>
      </c>
      <c r="L10" s="10">
        <f t="shared" si="2"/>
        <v>270000</v>
      </c>
      <c r="M10" s="4"/>
      <c r="N10" s="10">
        <f>1+1+6+1</f>
        <v>9</v>
      </c>
      <c r="O10" s="10">
        <f t="shared" si="3"/>
        <v>135000</v>
      </c>
    </row>
    <row r="11" spans="1:15" ht="15.4" x14ac:dyDescent="0.45">
      <c r="A11" s="8">
        <v>8</v>
      </c>
      <c r="B11" s="11" t="s">
        <v>12</v>
      </c>
      <c r="C11" s="9">
        <v>20000</v>
      </c>
      <c r="D11" s="3"/>
      <c r="E11" s="10">
        <f>1+11</f>
        <v>12</v>
      </c>
      <c r="F11" s="10">
        <f t="shared" si="0"/>
        <v>240000</v>
      </c>
      <c r="G11" s="4"/>
      <c r="H11" s="10">
        <v>11</v>
      </c>
      <c r="I11" s="10">
        <f t="shared" si="1"/>
        <v>220000</v>
      </c>
      <c r="J11" s="4"/>
      <c r="K11" s="10">
        <v>15</v>
      </c>
      <c r="L11" s="10">
        <f t="shared" si="2"/>
        <v>300000</v>
      </c>
      <c r="M11" s="4"/>
      <c r="N11" s="10">
        <f>6+1</f>
        <v>7</v>
      </c>
      <c r="O11" s="10">
        <f t="shared" si="3"/>
        <v>140000</v>
      </c>
    </row>
    <row r="12" spans="1:15" ht="15.4" x14ac:dyDescent="0.45">
      <c r="A12" s="8">
        <v>9</v>
      </c>
      <c r="B12" s="11" t="s">
        <v>13</v>
      </c>
      <c r="C12" s="9">
        <v>30000</v>
      </c>
      <c r="D12" s="3"/>
      <c r="E12" s="10">
        <v>10</v>
      </c>
      <c r="F12" s="10">
        <f t="shared" si="0"/>
        <v>300000</v>
      </c>
      <c r="G12" s="4"/>
      <c r="H12" s="10">
        <f>1+7</f>
        <v>8</v>
      </c>
      <c r="I12" s="10">
        <f t="shared" si="1"/>
        <v>240000</v>
      </c>
      <c r="J12" s="4"/>
      <c r="K12" s="10">
        <f>1+5+1+1</f>
        <v>8</v>
      </c>
      <c r="L12" s="10">
        <f t="shared" si="2"/>
        <v>240000</v>
      </c>
      <c r="M12" s="4"/>
      <c r="N12" s="10">
        <f>1+4</f>
        <v>5</v>
      </c>
      <c r="O12" s="10">
        <f t="shared" si="3"/>
        <v>150000</v>
      </c>
    </row>
    <row r="13" spans="1:15" ht="15.4" x14ac:dyDescent="0.45">
      <c r="A13" s="8">
        <v>10</v>
      </c>
      <c r="B13" s="11" t="s">
        <v>14</v>
      </c>
      <c r="C13" s="9">
        <v>35000</v>
      </c>
      <c r="D13" s="3"/>
      <c r="E13" s="10">
        <v>1</v>
      </c>
      <c r="F13" s="10">
        <f t="shared" si="0"/>
        <v>35000</v>
      </c>
      <c r="G13" s="4"/>
      <c r="H13" s="10">
        <v>5</v>
      </c>
      <c r="I13" s="10">
        <f t="shared" si="1"/>
        <v>175000</v>
      </c>
      <c r="J13" s="4"/>
      <c r="K13" s="10">
        <v>1</v>
      </c>
      <c r="L13" s="10">
        <f t="shared" si="2"/>
        <v>35000</v>
      </c>
      <c r="M13" s="4"/>
      <c r="N13" s="10">
        <v>1</v>
      </c>
      <c r="O13" s="10">
        <f t="shared" si="3"/>
        <v>35000</v>
      </c>
    </row>
    <row r="14" spans="1:15" ht="15.4" x14ac:dyDescent="0.45">
      <c r="A14" s="8">
        <v>11</v>
      </c>
      <c r="B14" s="11" t="s">
        <v>15</v>
      </c>
      <c r="C14" s="9">
        <v>50000</v>
      </c>
      <c r="D14" s="3"/>
      <c r="E14" s="10">
        <v>0</v>
      </c>
      <c r="F14" s="10">
        <f t="shared" si="0"/>
        <v>0</v>
      </c>
      <c r="G14" s="4"/>
      <c r="H14" s="10">
        <v>2</v>
      </c>
      <c r="I14" s="10">
        <f t="shared" si="1"/>
        <v>100000</v>
      </c>
      <c r="J14" s="4"/>
      <c r="K14" s="10">
        <v>3</v>
      </c>
      <c r="L14" s="10">
        <f t="shared" si="2"/>
        <v>150000</v>
      </c>
      <c r="M14" s="4"/>
      <c r="N14" s="10">
        <v>3</v>
      </c>
      <c r="O14" s="10">
        <f t="shared" si="3"/>
        <v>150000</v>
      </c>
    </row>
    <row r="15" spans="1:15" ht="15.4" x14ac:dyDescent="0.45">
      <c r="A15" s="8">
        <v>12</v>
      </c>
      <c r="B15" s="11" t="s">
        <v>16</v>
      </c>
      <c r="C15" s="9">
        <v>80000</v>
      </c>
      <c r="D15" s="3"/>
      <c r="E15" s="10">
        <v>3</v>
      </c>
      <c r="F15" s="10">
        <f t="shared" si="0"/>
        <v>240000</v>
      </c>
      <c r="G15" s="4"/>
      <c r="H15" s="10">
        <v>3</v>
      </c>
      <c r="I15" s="10">
        <f t="shared" si="1"/>
        <v>240000</v>
      </c>
      <c r="J15" s="4"/>
      <c r="K15" s="10">
        <v>3</v>
      </c>
      <c r="L15" s="10">
        <f t="shared" si="2"/>
        <v>240000</v>
      </c>
      <c r="M15" s="4"/>
      <c r="N15" s="10">
        <v>2</v>
      </c>
      <c r="O15" s="10">
        <f t="shared" si="3"/>
        <v>160000</v>
      </c>
    </row>
    <row r="16" spans="1:15" ht="15.4" x14ac:dyDescent="0.45">
      <c r="A16" s="8">
        <v>13</v>
      </c>
      <c r="B16" s="11" t="s">
        <v>17</v>
      </c>
      <c r="C16" s="9">
        <v>200000</v>
      </c>
      <c r="D16" s="3"/>
      <c r="E16" s="10">
        <v>3</v>
      </c>
      <c r="F16" s="10">
        <f t="shared" si="0"/>
        <v>600000</v>
      </c>
      <c r="G16" s="4"/>
      <c r="H16" s="10">
        <v>1</v>
      </c>
      <c r="I16" s="10">
        <f t="shared" si="1"/>
        <v>200000</v>
      </c>
      <c r="J16" s="4"/>
      <c r="K16" s="10">
        <v>1</v>
      </c>
      <c r="L16" s="10">
        <f t="shared" si="2"/>
        <v>200000</v>
      </c>
      <c r="M16" s="4"/>
      <c r="N16" s="10">
        <v>1</v>
      </c>
      <c r="O16" s="10">
        <f t="shared" si="3"/>
        <v>200000</v>
      </c>
    </row>
    <row r="17" spans="1:17" ht="15.4" x14ac:dyDescent="0.45">
      <c r="A17" s="8">
        <v>14</v>
      </c>
      <c r="B17" s="11" t="s">
        <v>18</v>
      </c>
      <c r="C17" s="9">
        <v>400000</v>
      </c>
      <c r="D17" s="3"/>
      <c r="E17" s="10">
        <v>1</v>
      </c>
      <c r="F17" s="10">
        <f t="shared" si="0"/>
        <v>400000</v>
      </c>
      <c r="G17" s="4"/>
      <c r="H17" s="10">
        <v>1</v>
      </c>
      <c r="I17" s="10">
        <f t="shared" si="1"/>
        <v>400000</v>
      </c>
      <c r="J17" s="4"/>
      <c r="K17" s="10">
        <v>1</v>
      </c>
      <c r="L17" s="10">
        <f t="shared" si="2"/>
        <v>400000</v>
      </c>
      <c r="M17" s="4"/>
      <c r="N17" s="10">
        <v>0</v>
      </c>
      <c r="O17" s="10">
        <f t="shared" si="3"/>
        <v>0</v>
      </c>
    </row>
    <row r="18" spans="1:17" ht="15.4" x14ac:dyDescent="0.45">
      <c r="E18" s="12"/>
      <c r="F18" s="12"/>
      <c r="G18" s="1"/>
      <c r="H18" s="12"/>
      <c r="I18" s="12"/>
      <c r="J18" s="1"/>
      <c r="K18" s="12"/>
      <c r="L18" s="12"/>
      <c r="M18" s="1"/>
      <c r="N18" s="12"/>
      <c r="O18" s="12"/>
    </row>
    <row r="19" spans="1:17" ht="15.4" x14ac:dyDescent="0.45">
      <c r="B19" s="13" t="s">
        <v>19</v>
      </c>
      <c r="E19" s="14"/>
      <c r="F19" s="14">
        <f>SUM(F4:F17)</f>
        <v>8711800</v>
      </c>
      <c r="G19" s="1"/>
      <c r="H19" s="14"/>
      <c r="I19" s="14">
        <f>SUM(I4:I17)</f>
        <v>8302400</v>
      </c>
      <c r="J19" s="1"/>
      <c r="K19" s="14"/>
      <c r="L19" s="14">
        <f>SUM(L4:L17)</f>
        <v>8174000</v>
      </c>
      <c r="M19" s="1"/>
      <c r="N19" s="14"/>
      <c r="O19" s="14">
        <f>SUM(O4:O17)</f>
        <v>7061200</v>
      </c>
      <c r="Q19" s="15"/>
    </row>
    <row r="20" spans="1:17" ht="15.4" x14ac:dyDescent="0.45">
      <c r="B20" s="16">
        <f>SUM(F19+I19+L19+O19)</f>
        <v>32249400</v>
      </c>
      <c r="C20" s="17" t="s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 ht="15.4" x14ac:dyDescent="0.4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7" ht="15.4" x14ac:dyDescent="0.45">
      <c r="B22" s="13" t="s">
        <v>21</v>
      </c>
      <c r="E22" s="1">
        <f>SUM(E4:E17)</f>
        <v>1972</v>
      </c>
      <c r="F22" s="1"/>
      <c r="G22" s="1"/>
      <c r="H22" s="1">
        <f>SUM(H4:H17)</f>
        <v>1963</v>
      </c>
      <c r="I22" s="1"/>
      <c r="J22" s="1"/>
      <c r="K22" s="1">
        <f>SUM(K4:K17)</f>
        <v>1934</v>
      </c>
      <c r="L22" s="1"/>
      <c r="M22" s="1"/>
      <c r="N22" s="1">
        <f>SUM(N4:N17)</f>
        <v>1923</v>
      </c>
      <c r="O22" s="1"/>
    </row>
    <row r="23" spans="1:17" ht="15.4" x14ac:dyDescent="0.4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7" ht="15.4" x14ac:dyDescent="0.45">
      <c r="B24" s="1" t="s">
        <v>22</v>
      </c>
      <c r="E24" s="1"/>
      <c r="F24" s="1"/>
      <c r="G24" s="1"/>
      <c r="H24" s="1">
        <v>3410</v>
      </c>
      <c r="I24" s="1"/>
      <c r="J24" s="1"/>
      <c r="K24" s="1"/>
      <c r="L24" s="1"/>
      <c r="M24" s="1"/>
      <c r="N24" s="1"/>
      <c r="O24" s="1"/>
    </row>
    <row r="25" spans="1:17" ht="15.4" x14ac:dyDescent="0.45">
      <c r="B25" s="1">
        <v>3410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ht="15.4" x14ac:dyDescent="0.4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mergeCells count="4">
    <mergeCell ref="E2:F2"/>
    <mergeCell ref="H2:I2"/>
    <mergeCell ref="K2:L2"/>
    <mergeCell ref="N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zoomScaleNormal="100" workbookViewId="0">
      <selection activeCell="E8" sqref="E8"/>
    </sheetView>
  </sheetViews>
  <sheetFormatPr defaultRowHeight="14.25" x14ac:dyDescent="0.45"/>
  <cols>
    <col min="2" max="2" width="32.19921875" customWidth="1"/>
    <col min="3" max="3" width="14.19921875" customWidth="1"/>
    <col min="4" max="4" width="4" customWidth="1"/>
    <col min="5" max="5" width="15.796875" customWidth="1"/>
    <col min="6" max="6" width="14.796875" customWidth="1"/>
    <col min="7" max="7" width="4" customWidth="1"/>
    <col min="8" max="8" width="18.796875" customWidth="1"/>
    <col min="9" max="9" width="17.53125" customWidth="1"/>
    <col min="10" max="10" width="4.46484375" customWidth="1"/>
    <col min="11" max="11" width="18" customWidth="1"/>
    <col min="12" max="12" width="17" customWidth="1"/>
    <col min="13" max="13" width="6.19921875" customWidth="1"/>
    <col min="14" max="14" width="17" customWidth="1"/>
    <col min="15" max="15" width="18.796875" customWidth="1"/>
    <col min="16" max="16" width="5.46484375" customWidth="1"/>
  </cols>
  <sheetData>
    <row r="1" spans="1:15" ht="15.4" x14ac:dyDescent="0.45"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4" x14ac:dyDescent="0.45">
      <c r="A2" s="2"/>
      <c r="B2" s="2"/>
      <c r="C2" s="2"/>
      <c r="D2" s="3"/>
      <c r="E2" s="69" t="s">
        <v>31</v>
      </c>
      <c r="F2" s="69"/>
      <c r="G2" s="4"/>
      <c r="H2" s="69" t="s">
        <v>32</v>
      </c>
      <c r="I2" s="69"/>
      <c r="J2" s="4"/>
      <c r="K2" s="69" t="s">
        <v>33</v>
      </c>
      <c r="L2" s="69"/>
      <c r="M2" s="4"/>
      <c r="N2" s="69" t="s">
        <v>34</v>
      </c>
      <c r="O2" s="69"/>
    </row>
    <row r="3" spans="1:15" ht="80" customHeight="1" x14ac:dyDescent="0.45">
      <c r="A3" s="5" t="s">
        <v>0</v>
      </c>
      <c r="B3" s="6" t="s">
        <v>1</v>
      </c>
      <c r="C3" s="7" t="s">
        <v>2</v>
      </c>
      <c r="D3" s="3"/>
      <c r="E3" s="7" t="s">
        <v>3</v>
      </c>
      <c r="F3" s="7" t="s">
        <v>4</v>
      </c>
      <c r="G3" s="4"/>
      <c r="H3" s="7" t="s">
        <v>3</v>
      </c>
      <c r="I3" s="7" t="s">
        <v>4</v>
      </c>
      <c r="J3" s="4"/>
      <c r="K3" s="7" t="s">
        <v>3</v>
      </c>
      <c r="L3" s="7" t="s">
        <v>4</v>
      </c>
      <c r="M3" s="4"/>
      <c r="N3" s="7" t="s">
        <v>3</v>
      </c>
      <c r="O3" s="7" t="s">
        <v>4</v>
      </c>
    </row>
    <row r="4" spans="1:15" ht="15.4" x14ac:dyDescent="0.45">
      <c r="A4" s="8">
        <v>1</v>
      </c>
      <c r="B4" s="6" t="s">
        <v>5</v>
      </c>
      <c r="C4" s="9">
        <v>2200</v>
      </c>
      <c r="D4" s="3"/>
      <c r="E4" s="10">
        <f>794+8+13+10+5+1+3+1+1+1</f>
        <v>837</v>
      </c>
      <c r="F4" s="10">
        <f t="shared" ref="F4:F17" si="0">C4*E4</f>
        <v>1841400</v>
      </c>
      <c r="G4" s="4"/>
      <c r="H4" s="10">
        <f>814+4+10+7</f>
        <v>835</v>
      </c>
      <c r="I4" s="10">
        <f t="shared" ref="I4:I17" si="1">C4*H4</f>
        <v>1837000</v>
      </c>
      <c r="J4" s="4"/>
      <c r="K4" s="10">
        <f>783+7+16+3+1+1</f>
        <v>811</v>
      </c>
      <c r="L4" s="10">
        <f t="shared" ref="L4:L17" si="2">C4*K4</f>
        <v>1784200</v>
      </c>
      <c r="M4" s="4"/>
      <c r="N4" s="10">
        <f>855+26+19+8+2+1+1+1+1</f>
        <v>914</v>
      </c>
      <c r="O4" s="10">
        <f t="shared" ref="O4:O17" si="3">C4*N4</f>
        <v>2010800</v>
      </c>
    </row>
    <row r="5" spans="1:15" ht="15.4" x14ac:dyDescent="0.45">
      <c r="A5" s="8">
        <v>2</v>
      </c>
      <c r="B5" s="11" t="s">
        <v>6</v>
      </c>
      <c r="C5" s="9">
        <v>3000</v>
      </c>
      <c r="D5" s="3"/>
      <c r="E5" s="10">
        <f>336+7+3</f>
        <v>346</v>
      </c>
      <c r="F5" s="10">
        <f t="shared" si="0"/>
        <v>1038000</v>
      </c>
      <c r="G5" s="4"/>
      <c r="H5" s="10">
        <f>337+10+1+3+1</f>
        <v>352</v>
      </c>
      <c r="I5" s="10">
        <f t="shared" si="1"/>
        <v>1056000</v>
      </c>
      <c r="J5" s="4"/>
      <c r="K5" s="10">
        <f>334+7+1+1+2+1+1</f>
        <v>347</v>
      </c>
      <c r="L5" s="10">
        <f t="shared" si="2"/>
        <v>1041000</v>
      </c>
      <c r="M5" s="4"/>
      <c r="N5" s="10">
        <f>324+9+9</f>
        <v>342</v>
      </c>
      <c r="O5" s="10">
        <f t="shared" si="3"/>
        <v>1026000</v>
      </c>
    </row>
    <row r="6" spans="1:15" ht="15.4" x14ac:dyDescent="0.45">
      <c r="A6" s="8">
        <v>3</v>
      </c>
      <c r="B6" s="11" t="s">
        <v>7</v>
      </c>
      <c r="C6" s="9">
        <v>4000</v>
      </c>
      <c r="D6" s="3"/>
      <c r="E6" s="10">
        <f>293+9+1+1+1</f>
        <v>305</v>
      </c>
      <c r="F6" s="10">
        <f t="shared" si="0"/>
        <v>1220000</v>
      </c>
      <c r="G6" s="4"/>
      <c r="H6" s="10">
        <f>299+1+4+1+1</f>
        <v>306</v>
      </c>
      <c r="I6" s="10">
        <f t="shared" si="1"/>
        <v>1224000</v>
      </c>
      <c r="J6" s="4"/>
      <c r="K6" s="10">
        <f>296+1+1+1+1+2</f>
        <v>302</v>
      </c>
      <c r="L6" s="10">
        <f t="shared" si="2"/>
        <v>1208000</v>
      </c>
      <c r="M6" s="4"/>
      <c r="N6" s="10">
        <f>251+4+7+3+8+1</f>
        <v>274</v>
      </c>
      <c r="O6" s="10">
        <f t="shared" si="3"/>
        <v>1096000</v>
      </c>
    </row>
    <row r="7" spans="1:15" ht="15.4" x14ac:dyDescent="0.45">
      <c r="A7" s="8">
        <v>4</v>
      </c>
      <c r="B7" s="11" t="s">
        <v>8</v>
      </c>
      <c r="C7" s="9">
        <v>5000</v>
      </c>
      <c r="D7" s="3"/>
      <c r="E7" s="10">
        <f>121+6+6+1+1</f>
        <v>135</v>
      </c>
      <c r="F7" s="10">
        <f t="shared" si="0"/>
        <v>675000</v>
      </c>
      <c r="G7" s="4"/>
      <c r="H7" s="10">
        <f>143+5+6+1+1</f>
        <v>156</v>
      </c>
      <c r="I7" s="10">
        <f t="shared" si="1"/>
        <v>780000</v>
      </c>
      <c r="J7" s="4"/>
      <c r="K7" s="10">
        <f>150+5+2</f>
        <v>157</v>
      </c>
      <c r="L7" s="10">
        <f t="shared" si="2"/>
        <v>785000</v>
      </c>
      <c r="M7" s="4"/>
      <c r="N7" s="10">
        <f>98+1+2+2+3+1</f>
        <v>107</v>
      </c>
      <c r="O7" s="10">
        <f t="shared" si="3"/>
        <v>535000</v>
      </c>
    </row>
    <row r="8" spans="1:15" ht="15.4" x14ac:dyDescent="0.45">
      <c r="A8" s="8">
        <v>5</v>
      </c>
      <c r="B8" s="11" t="s">
        <v>9</v>
      </c>
      <c r="C8" s="9">
        <v>7000</v>
      </c>
      <c r="D8" s="3"/>
      <c r="E8" s="28">
        <f>123+5+2+1+1</f>
        <v>132</v>
      </c>
      <c r="F8" s="28">
        <f t="shared" si="0"/>
        <v>924000</v>
      </c>
      <c r="G8" s="4"/>
      <c r="H8" s="10">
        <f>103+1+1+1+1</f>
        <v>107</v>
      </c>
      <c r="I8" s="10">
        <f t="shared" si="1"/>
        <v>749000</v>
      </c>
      <c r="J8" s="4"/>
      <c r="K8" s="10">
        <f>135+1+1+1</f>
        <v>138</v>
      </c>
      <c r="L8" s="10">
        <f t="shared" si="2"/>
        <v>966000</v>
      </c>
      <c r="M8" s="4"/>
      <c r="N8" s="10">
        <f>102+1+2+1+3+1+3</f>
        <v>113</v>
      </c>
      <c r="O8" s="10">
        <f t="shared" si="3"/>
        <v>791000</v>
      </c>
    </row>
    <row r="9" spans="1:15" ht="15.4" x14ac:dyDescent="0.45">
      <c r="A9" s="8">
        <v>6</v>
      </c>
      <c r="B9" s="11" t="s">
        <v>10</v>
      </c>
      <c r="C9" s="9">
        <v>10000</v>
      </c>
      <c r="D9" s="3"/>
      <c r="E9" s="10">
        <f>44+1+1+1</f>
        <v>47</v>
      </c>
      <c r="F9" s="10">
        <f t="shared" si="0"/>
        <v>470000</v>
      </c>
      <c r="G9" s="4"/>
      <c r="H9" s="10">
        <f>50+2+1+1</f>
        <v>54</v>
      </c>
      <c r="I9" s="10">
        <f t="shared" si="1"/>
        <v>540000</v>
      </c>
      <c r="J9" s="4"/>
      <c r="K9" s="10">
        <f>42+2</f>
        <v>44</v>
      </c>
      <c r="L9" s="10">
        <f t="shared" si="2"/>
        <v>440000</v>
      </c>
      <c r="M9" s="4"/>
      <c r="N9" s="10">
        <f>34+2+1+1</f>
        <v>38</v>
      </c>
      <c r="O9" s="10">
        <f t="shared" si="3"/>
        <v>380000</v>
      </c>
    </row>
    <row r="10" spans="1:15" ht="15.4" x14ac:dyDescent="0.45">
      <c r="A10" s="8">
        <v>7</v>
      </c>
      <c r="B10" s="11" t="s">
        <v>11</v>
      </c>
      <c r="C10" s="9">
        <v>15000</v>
      </c>
      <c r="D10" s="3"/>
      <c r="E10" s="10">
        <v>20</v>
      </c>
      <c r="F10" s="10">
        <f t="shared" si="0"/>
        <v>300000</v>
      </c>
      <c r="G10" s="4"/>
      <c r="H10" s="10">
        <f>17+1</f>
        <v>18</v>
      </c>
      <c r="I10" s="10">
        <f t="shared" si="1"/>
        <v>270000</v>
      </c>
      <c r="J10" s="4"/>
      <c r="K10" s="10">
        <v>20</v>
      </c>
      <c r="L10" s="10">
        <f t="shared" si="2"/>
        <v>300000</v>
      </c>
      <c r="M10" s="4"/>
      <c r="N10" s="10">
        <f>7+1+1</f>
        <v>9</v>
      </c>
      <c r="O10" s="10">
        <f t="shared" si="3"/>
        <v>135000</v>
      </c>
    </row>
    <row r="11" spans="1:15" ht="15.4" x14ac:dyDescent="0.45">
      <c r="A11" s="8">
        <v>8</v>
      </c>
      <c r="B11" s="11" t="s">
        <v>12</v>
      </c>
      <c r="C11" s="9">
        <v>20000</v>
      </c>
      <c r="D11" s="3"/>
      <c r="E11" s="10">
        <v>11</v>
      </c>
      <c r="F11" s="10">
        <f t="shared" si="0"/>
        <v>220000</v>
      </c>
      <c r="G11" s="4"/>
      <c r="H11" s="10">
        <v>7</v>
      </c>
      <c r="I11" s="10">
        <f t="shared" si="1"/>
        <v>140000</v>
      </c>
      <c r="J11" s="4"/>
      <c r="K11" s="10">
        <v>11</v>
      </c>
      <c r="L11" s="10">
        <f t="shared" si="2"/>
        <v>220000</v>
      </c>
      <c r="M11" s="4"/>
      <c r="N11" s="10">
        <v>4</v>
      </c>
      <c r="O11" s="10">
        <f t="shared" si="3"/>
        <v>80000</v>
      </c>
    </row>
    <row r="12" spans="1:15" ht="15.4" x14ac:dyDescent="0.45">
      <c r="A12" s="8">
        <v>9</v>
      </c>
      <c r="B12" s="11" t="s">
        <v>13</v>
      </c>
      <c r="C12" s="9">
        <v>30000</v>
      </c>
      <c r="D12" s="3"/>
      <c r="E12" s="10">
        <v>6</v>
      </c>
      <c r="F12" s="10">
        <f t="shared" si="0"/>
        <v>180000</v>
      </c>
      <c r="G12" s="4"/>
      <c r="H12" s="10">
        <v>7</v>
      </c>
      <c r="I12" s="10">
        <f t="shared" si="1"/>
        <v>210000</v>
      </c>
      <c r="J12" s="4"/>
      <c r="K12" s="10">
        <v>5</v>
      </c>
      <c r="L12" s="10">
        <f t="shared" si="2"/>
        <v>150000</v>
      </c>
      <c r="M12" s="4"/>
      <c r="N12" s="10">
        <v>5</v>
      </c>
      <c r="O12" s="10">
        <f t="shared" si="3"/>
        <v>150000</v>
      </c>
    </row>
    <row r="13" spans="1:15" ht="15.4" x14ac:dyDescent="0.45">
      <c r="A13" s="8">
        <v>10</v>
      </c>
      <c r="B13" s="11" t="s">
        <v>14</v>
      </c>
      <c r="C13" s="9">
        <v>35000</v>
      </c>
      <c r="D13" s="3"/>
      <c r="E13" s="10">
        <v>4</v>
      </c>
      <c r="F13" s="10">
        <f t="shared" si="0"/>
        <v>140000</v>
      </c>
      <c r="G13" s="4"/>
      <c r="H13" s="10">
        <v>3</v>
      </c>
      <c r="I13" s="10">
        <f t="shared" si="1"/>
        <v>105000</v>
      </c>
      <c r="J13" s="4"/>
      <c r="K13" s="10">
        <v>3</v>
      </c>
      <c r="L13" s="10">
        <f t="shared" si="2"/>
        <v>105000</v>
      </c>
      <c r="M13" s="4"/>
      <c r="N13" s="10">
        <v>1</v>
      </c>
      <c r="O13" s="10">
        <f t="shared" si="3"/>
        <v>35000</v>
      </c>
    </row>
    <row r="14" spans="1:15" ht="15.4" x14ac:dyDescent="0.45">
      <c r="A14" s="8">
        <v>11</v>
      </c>
      <c r="B14" s="11" t="s">
        <v>15</v>
      </c>
      <c r="C14" s="9">
        <v>50000</v>
      </c>
      <c r="D14" s="3"/>
      <c r="E14" s="10">
        <v>2</v>
      </c>
      <c r="F14" s="10">
        <f t="shared" si="0"/>
        <v>100000</v>
      </c>
      <c r="G14" s="4"/>
      <c r="H14" s="10">
        <v>4</v>
      </c>
      <c r="I14" s="10">
        <f t="shared" si="1"/>
        <v>200000</v>
      </c>
      <c r="J14" s="4"/>
      <c r="K14" s="10">
        <f>2+1</f>
        <v>3</v>
      </c>
      <c r="L14" s="10">
        <f t="shared" si="2"/>
        <v>150000</v>
      </c>
      <c r="M14" s="4"/>
      <c r="N14" s="10">
        <v>3</v>
      </c>
      <c r="O14" s="10">
        <f t="shared" si="3"/>
        <v>150000</v>
      </c>
    </row>
    <row r="15" spans="1:15" ht="15.4" x14ac:dyDescent="0.45">
      <c r="A15" s="8">
        <v>12</v>
      </c>
      <c r="B15" s="11" t="s">
        <v>16</v>
      </c>
      <c r="C15" s="9">
        <v>80000</v>
      </c>
      <c r="D15" s="3"/>
      <c r="E15" s="10">
        <v>6</v>
      </c>
      <c r="F15" s="10">
        <f t="shared" si="0"/>
        <v>480000</v>
      </c>
      <c r="G15" s="4"/>
      <c r="H15" s="10">
        <v>5</v>
      </c>
      <c r="I15" s="10">
        <f t="shared" si="1"/>
        <v>400000</v>
      </c>
      <c r="J15" s="4"/>
      <c r="K15" s="10">
        <v>3</v>
      </c>
      <c r="L15" s="10">
        <f t="shared" si="2"/>
        <v>240000</v>
      </c>
      <c r="M15" s="4"/>
      <c r="N15" s="10">
        <v>1</v>
      </c>
      <c r="O15" s="10">
        <f t="shared" si="3"/>
        <v>80000</v>
      </c>
    </row>
    <row r="16" spans="1:15" ht="15.4" x14ac:dyDescent="0.45">
      <c r="A16" s="8">
        <v>13</v>
      </c>
      <c r="B16" s="11" t="s">
        <v>17</v>
      </c>
      <c r="C16" s="9">
        <v>200000</v>
      </c>
      <c r="D16" s="3"/>
      <c r="E16" s="10">
        <v>1</v>
      </c>
      <c r="F16" s="10">
        <f t="shared" si="0"/>
        <v>200000</v>
      </c>
      <c r="G16" s="4"/>
      <c r="H16" s="10">
        <v>0</v>
      </c>
      <c r="I16" s="10">
        <f t="shared" si="1"/>
        <v>0</v>
      </c>
      <c r="J16" s="4"/>
      <c r="K16" s="10">
        <v>1</v>
      </c>
      <c r="L16" s="10">
        <f t="shared" si="2"/>
        <v>200000</v>
      </c>
      <c r="M16" s="4"/>
      <c r="N16" s="10">
        <v>1</v>
      </c>
      <c r="O16" s="10">
        <f t="shared" si="3"/>
        <v>200000</v>
      </c>
    </row>
    <row r="17" spans="1:15" ht="15.4" x14ac:dyDescent="0.45">
      <c r="A17" s="8">
        <v>14</v>
      </c>
      <c r="B17" s="11" t="s">
        <v>18</v>
      </c>
      <c r="C17" s="9">
        <v>400000</v>
      </c>
      <c r="D17" s="3"/>
      <c r="E17" s="10">
        <v>1</v>
      </c>
      <c r="F17" s="10">
        <f t="shared" si="0"/>
        <v>400000</v>
      </c>
      <c r="G17" s="4"/>
      <c r="H17" s="10">
        <v>1</v>
      </c>
      <c r="I17" s="10">
        <f t="shared" si="1"/>
        <v>400000</v>
      </c>
      <c r="J17" s="4"/>
      <c r="K17" s="10">
        <v>1</v>
      </c>
      <c r="L17" s="10">
        <f t="shared" si="2"/>
        <v>400000</v>
      </c>
      <c r="M17" s="4"/>
      <c r="N17" s="10">
        <v>1</v>
      </c>
      <c r="O17" s="10">
        <f t="shared" si="3"/>
        <v>400000</v>
      </c>
    </row>
    <row r="18" spans="1:15" ht="15.4" x14ac:dyDescent="0.45">
      <c r="E18" s="12"/>
      <c r="F18" s="12"/>
      <c r="G18" s="1"/>
      <c r="H18" s="12"/>
      <c r="I18" s="12"/>
      <c r="J18" s="1"/>
      <c r="K18" s="12"/>
      <c r="L18" s="12"/>
      <c r="M18" s="1"/>
      <c r="N18" s="12"/>
      <c r="O18" s="12"/>
    </row>
    <row r="19" spans="1:15" ht="15.4" x14ac:dyDescent="0.45">
      <c r="B19" s="13" t="s">
        <v>19</v>
      </c>
      <c r="E19" s="14"/>
      <c r="F19" s="14">
        <f>SUM(F4:F17)</f>
        <v>8188400</v>
      </c>
      <c r="G19" s="1"/>
      <c r="H19" s="14"/>
      <c r="I19" s="14">
        <f>SUM(I4:I17)</f>
        <v>7911000</v>
      </c>
      <c r="J19" s="1"/>
      <c r="K19" s="14"/>
      <c r="L19" s="14">
        <f>SUM(L4:L17)</f>
        <v>7989200</v>
      </c>
      <c r="M19" s="1"/>
      <c r="N19" s="14"/>
      <c r="O19" s="14">
        <f>SUM(O4:O17)</f>
        <v>7068800</v>
      </c>
    </row>
    <row r="20" spans="1:15" ht="15.4" x14ac:dyDescent="0.45">
      <c r="B20" s="16">
        <f>SUM(F19+I19+L19+O19)</f>
        <v>31157400</v>
      </c>
      <c r="C20" s="17" t="s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4" x14ac:dyDescent="0.4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4" x14ac:dyDescent="0.45">
      <c r="B22" s="13" t="s">
        <v>21</v>
      </c>
      <c r="E22" s="1">
        <f>SUM(E4:E17)</f>
        <v>1853</v>
      </c>
      <c r="F22" s="1"/>
      <c r="G22" s="1"/>
      <c r="H22" s="1">
        <f>SUM(H4:H17)</f>
        <v>1855</v>
      </c>
      <c r="I22" s="1"/>
      <c r="J22" s="1"/>
      <c r="K22" s="1">
        <f>SUM(K4:K17)</f>
        <v>1846</v>
      </c>
      <c r="L22" s="1"/>
      <c r="M22" s="1"/>
      <c r="N22" s="1">
        <f>SUM(N4:N17)</f>
        <v>1813</v>
      </c>
      <c r="O22" s="1"/>
    </row>
    <row r="23" spans="1:15" ht="15.4" x14ac:dyDescent="0.4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4" x14ac:dyDescent="0.45">
      <c r="B24" s="1" t="s">
        <v>22</v>
      </c>
      <c r="E24" s="1"/>
      <c r="F24" s="1"/>
      <c r="G24" s="1"/>
      <c r="H24" s="1">
        <v>3410</v>
      </c>
      <c r="I24" s="1"/>
      <c r="J24" s="1"/>
      <c r="K24" s="1"/>
      <c r="L24" s="1"/>
      <c r="M24" s="1"/>
      <c r="N24" s="1"/>
      <c r="O24" s="1"/>
    </row>
    <row r="25" spans="1:15" ht="15.4" x14ac:dyDescent="0.45">
      <c r="B25" s="1">
        <v>3410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4" x14ac:dyDescent="0.45">
      <c r="B26" s="1"/>
      <c r="E26" s="23" t="s">
        <v>35</v>
      </c>
      <c r="F26" s="24">
        <v>138</v>
      </c>
      <c r="G26" s="18"/>
      <c r="H26" s="23" t="s">
        <v>35</v>
      </c>
      <c r="I26" s="24">
        <v>164</v>
      </c>
      <c r="J26" s="18"/>
      <c r="K26" s="23" t="s">
        <v>35</v>
      </c>
      <c r="L26" s="24">
        <v>195</v>
      </c>
      <c r="M26" s="18"/>
      <c r="N26" s="23" t="s">
        <v>35</v>
      </c>
      <c r="O26" s="24">
        <v>258</v>
      </c>
    </row>
    <row r="27" spans="1:15" s="19" customFormat="1" ht="38.25" x14ac:dyDescent="0.45">
      <c r="B27" s="20"/>
      <c r="E27" s="25" t="s">
        <v>36</v>
      </c>
      <c r="F27" s="26">
        <v>163</v>
      </c>
      <c r="G27" s="21"/>
      <c r="H27" s="25" t="s">
        <v>37</v>
      </c>
      <c r="I27" s="26">
        <v>137</v>
      </c>
      <c r="J27" s="21"/>
      <c r="K27" s="25" t="s">
        <v>39</v>
      </c>
      <c r="L27" s="26">
        <v>126</v>
      </c>
      <c r="M27" s="21"/>
      <c r="N27" s="25" t="s">
        <v>38</v>
      </c>
      <c r="O27" s="26">
        <v>117</v>
      </c>
    </row>
    <row r="28" spans="1:15" ht="15.4" x14ac:dyDescent="0.45">
      <c r="B28" s="1"/>
      <c r="E28" s="18"/>
      <c r="F28" s="22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.4" x14ac:dyDescent="0.45">
      <c r="B29" s="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.4" x14ac:dyDescent="0.45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4" x14ac:dyDescent="0.45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4" x14ac:dyDescent="0.4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4">
    <mergeCell ref="E2:F2"/>
    <mergeCell ref="H2:I2"/>
    <mergeCell ref="K2:L2"/>
    <mergeCell ref="N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4CADC-F6F7-425A-AC37-5B76636C6A3A}">
  <sheetPr>
    <pageSetUpPr fitToPage="1"/>
  </sheetPr>
  <dimension ref="A1:V30"/>
  <sheetViews>
    <sheetView tabSelected="1" zoomScale="90" zoomScaleNormal="90" workbookViewId="0">
      <selection activeCell="F4" sqref="F4"/>
    </sheetView>
  </sheetViews>
  <sheetFormatPr defaultRowHeight="14.25" x14ac:dyDescent="0.45"/>
  <cols>
    <col min="1" max="1" width="5.1328125" customWidth="1"/>
    <col min="2" max="2" width="24.53125" customWidth="1"/>
    <col min="3" max="3" width="15" customWidth="1"/>
    <col min="4" max="4" width="1.53125" customWidth="1"/>
    <col min="5" max="5" width="17.33203125" customWidth="1"/>
    <col min="6" max="6" width="12.796875" customWidth="1"/>
    <col min="7" max="7" width="1.796875" customWidth="1"/>
    <col min="8" max="8" width="11.86328125" customWidth="1"/>
    <col min="9" max="9" width="15" customWidth="1"/>
    <col min="10" max="10" width="1.86328125" customWidth="1"/>
    <col min="11" max="11" width="12.6640625" customWidth="1"/>
    <col min="12" max="12" width="15.19921875" customWidth="1"/>
    <col min="13" max="13" width="2.1328125" customWidth="1"/>
    <col min="14" max="14" width="13.796875" customWidth="1"/>
    <col min="15" max="15" width="2.1328125" customWidth="1"/>
    <col min="16" max="16" width="12.19921875" customWidth="1"/>
    <col min="17" max="17" width="1.33203125" customWidth="1"/>
    <col min="18" max="18" width="12.19921875" customWidth="1"/>
    <col min="19" max="19" width="2.33203125" customWidth="1"/>
    <col min="20" max="20" width="14.33203125" customWidth="1"/>
    <col min="21" max="21" width="14.19921875" customWidth="1"/>
    <col min="22" max="22" width="14" customWidth="1"/>
  </cols>
  <sheetData>
    <row r="1" spans="1:22" ht="17.649999999999999" x14ac:dyDescent="0.5">
      <c r="B1" s="61" t="s">
        <v>63</v>
      </c>
      <c r="C1" s="60"/>
      <c r="D1" s="60"/>
    </row>
    <row r="2" spans="1:22" ht="8.4499999999999993" customHeight="1" x14ac:dyDescent="0.45"/>
    <row r="3" spans="1:22" ht="68.45" customHeight="1" x14ac:dyDescent="0.5">
      <c r="B3" s="65" t="s">
        <v>54</v>
      </c>
      <c r="D3" s="3"/>
      <c r="E3" s="70" t="s">
        <v>65</v>
      </c>
      <c r="F3" s="70"/>
      <c r="G3" s="3"/>
      <c r="H3" s="70" t="s">
        <v>64</v>
      </c>
      <c r="I3" s="70"/>
      <c r="J3" s="3"/>
      <c r="K3" s="71" t="s">
        <v>66</v>
      </c>
      <c r="L3" s="71"/>
      <c r="M3" s="3"/>
      <c r="N3" s="70" t="s">
        <v>62</v>
      </c>
      <c r="O3" s="70"/>
      <c r="P3" s="70"/>
      <c r="Q3" s="70"/>
      <c r="R3" s="70"/>
      <c r="S3" s="3"/>
    </row>
    <row r="4" spans="1:22" ht="49.25" customHeight="1" x14ac:dyDescent="0.45">
      <c r="D4" s="3"/>
      <c r="E4" s="67" t="s">
        <v>59</v>
      </c>
      <c r="F4" s="62">
        <v>5.0000000000000001E-4</v>
      </c>
      <c r="G4" s="3"/>
      <c r="H4" s="66" t="s">
        <v>61</v>
      </c>
      <c r="I4" s="63">
        <v>100</v>
      </c>
      <c r="J4" s="3"/>
      <c r="K4" s="66" t="s">
        <v>60</v>
      </c>
      <c r="L4" s="63">
        <v>1000</v>
      </c>
      <c r="M4" s="3"/>
      <c r="N4" s="70"/>
      <c r="O4" s="70"/>
      <c r="P4" s="70"/>
      <c r="Q4" s="70"/>
      <c r="R4" s="70"/>
      <c r="S4" s="3"/>
    </row>
    <row r="5" spans="1:22" ht="9" customHeight="1" x14ac:dyDescent="0.45">
      <c r="A5" s="68"/>
      <c r="B5" s="36"/>
      <c r="C5" s="36"/>
      <c r="D5" s="3"/>
      <c r="G5" s="3"/>
      <c r="J5" s="3"/>
      <c r="M5" s="3"/>
      <c r="Q5" s="53"/>
      <c r="R5" s="53"/>
      <c r="S5" s="3"/>
    </row>
    <row r="6" spans="1:22" ht="63.6" customHeight="1" x14ac:dyDescent="0.45">
      <c r="A6" s="5" t="s">
        <v>0</v>
      </c>
      <c r="B6" s="6" t="s">
        <v>1</v>
      </c>
      <c r="C6" s="41" t="s">
        <v>3</v>
      </c>
      <c r="D6" s="3"/>
      <c r="E6" s="41" t="s">
        <v>67</v>
      </c>
      <c r="F6" s="64" t="s">
        <v>69</v>
      </c>
      <c r="G6" s="3"/>
      <c r="H6" s="41" t="s">
        <v>73</v>
      </c>
      <c r="I6" s="64" t="s">
        <v>70</v>
      </c>
      <c r="J6" s="3"/>
      <c r="K6" s="41" t="s">
        <v>71</v>
      </c>
      <c r="L6" s="64" t="s">
        <v>72</v>
      </c>
      <c r="M6" s="3"/>
      <c r="N6" s="42" t="s">
        <v>68</v>
      </c>
      <c r="P6" s="43" t="s">
        <v>55</v>
      </c>
      <c r="Q6" s="54"/>
      <c r="R6" s="58" t="s">
        <v>58</v>
      </c>
      <c r="S6" s="37"/>
      <c r="T6" s="41" t="s">
        <v>3</v>
      </c>
      <c r="U6" s="42" t="s">
        <v>57</v>
      </c>
      <c r="V6" s="44" t="s">
        <v>56</v>
      </c>
    </row>
    <row r="7" spans="1:22" ht="15.4" x14ac:dyDescent="0.45">
      <c r="A7" s="8">
        <v>1</v>
      </c>
      <c r="B7" s="6" t="s">
        <v>5</v>
      </c>
      <c r="C7" s="10">
        <v>692</v>
      </c>
      <c r="D7" s="3"/>
      <c r="E7" s="45">
        <f>(0+500000)/2</f>
        <v>250000</v>
      </c>
      <c r="F7" s="45">
        <f>E7*$F$4</f>
        <v>125</v>
      </c>
      <c r="G7" s="3"/>
      <c r="H7" s="46">
        <v>1.6</v>
      </c>
      <c r="I7" s="45">
        <f t="shared" ref="I7:I21" si="0">H7*$I$4</f>
        <v>160</v>
      </c>
      <c r="J7" s="3"/>
      <c r="K7" s="47">
        <v>3</v>
      </c>
      <c r="L7" s="45">
        <f>K7*$L$4</f>
        <v>3000</v>
      </c>
      <c r="M7" s="3"/>
      <c r="N7" s="48">
        <f t="shared" ref="N7:N21" si="1">F7+I7+L7</f>
        <v>3285</v>
      </c>
      <c r="P7" s="49">
        <v>2310</v>
      </c>
      <c r="Q7" s="55"/>
      <c r="R7" s="59">
        <f>N7-P7</f>
        <v>975</v>
      </c>
      <c r="S7" s="38"/>
      <c r="T7" s="10">
        <v>692</v>
      </c>
      <c r="U7" s="51">
        <f t="shared" ref="U7:U21" si="2">N7*T7</f>
        <v>2273220</v>
      </c>
      <c r="V7" s="52">
        <f t="shared" ref="V7:V21" si="3">P7*T7</f>
        <v>1598520</v>
      </c>
    </row>
    <row r="8" spans="1:22" ht="15.4" x14ac:dyDescent="0.45">
      <c r="A8" s="8">
        <v>2</v>
      </c>
      <c r="B8" s="11" t="s">
        <v>40</v>
      </c>
      <c r="C8" s="10">
        <v>516</v>
      </c>
      <c r="D8" s="3"/>
      <c r="E8" s="45">
        <f>(500000+1000000)/2</f>
        <v>750000</v>
      </c>
      <c r="F8" s="45">
        <f t="shared" ref="F8:F21" si="4">E8*$F$4</f>
        <v>375</v>
      </c>
      <c r="G8" s="3"/>
      <c r="H8" s="46">
        <v>4.3</v>
      </c>
      <c r="I8" s="45">
        <f t="shared" si="0"/>
        <v>430</v>
      </c>
      <c r="J8" s="3"/>
      <c r="K8" s="47">
        <v>3</v>
      </c>
      <c r="L8" s="45">
        <f t="shared" ref="L8:L21" si="5">K8*$L$4</f>
        <v>3000</v>
      </c>
      <c r="M8" s="3"/>
      <c r="N8" s="48">
        <f t="shared" si="1"/>
        <v>3805</v>
      </c>
      <c r="P8" s="49">
        <v>3150</v>
      </c>
      <c r="Q8" s="55"/>
      <c r="R8" s="59">
        <f t="shared" ref="R8:R21" si="6">N8-P8</f>
        <v>655</v>
      </c>
      <c r="S8" s="39"/>
      <c r="T8" s="10">
        <v>516</v>
      </c>
      <c r="U8" s="51">
        <f t="shared" si="2"/>
        <v>1963380</v>
      </c>
      <c r="V8" s="52">
        <f t="shared" si="3"/>
        <v>1625400</v>
      </c>
    </row>
    <row r="9" spans="1:22" ht="15.4" x14ac:dyDescent="0.45">
      <c r="A9" s="8">
        <v>3</v>
      </c>
      <c r="B9" s="11" t="s">
        <v>41</v>
      </c>
      <c r="C9" s="10">
        <v>504</v>
      </c>
      <c r="D9" s="3"/>
      <c r="E9" s="45">
        <f>(1000000+2000000)/2</f>
        <v>1500000</v>
      </c>
      <c r="F9" s="45">
        <f t="shared" si="4"/>
        <v>750</v>
      </c>
      <c r="G9" s="3"/>
      <c r="H9" s="46">
        <v>6.2</v>
      </c>
      <c r="I9" s="45">
        <f t="shared" si="0"/>
        <v>620</v>
      </c>
      <c r="J9" s="3"/>
      <c r="K9" s="47">
        <v>3</v>
      </c>
      <c r="L9" s="45">
        <f t="shared" si="5"/>
        <v>3000</v>
      </c>
      <c r="M9" s="3"/>
      <c r="N9" s="48">
        <f t="shared" si="1"/>
        <v>4370</v>
      </c>
      <c r="P9" s="49">
        <v>4200</v>
      </c>
      <c r="Q9" s="55"/>
      <c r="R9" s="59">
        <f t="shared" si="6"/>
        <v>170</v>
      </c>
      <c r="S9" s="39"/>
      <c r="T9" s="10">
        <v>504</v>
      </c>
      <c r="U9" s="51">
        <f t="shared" si="2"/>
        <v>2202480</v>
      </c>
      <c r="V9" s="52">
        <f t="shared" si="3"/>
        <v>2116800</v>
      </c>
    </row>
    <row r="10" spans="1:22" ht="15.4" x14ac:dyDescent="0.45">
      <c r="A10" s="8">
        <v>4</v>
      </c>
      <c r="B10" s="11" t="s">
        <v>42</v>
      </c>
      <c r="C10" s="10">
        <v>199</v>
      </c>
      <c r="D10" s="3"/>
      <c r="E10" s="45">
        <f>(2000000+3000000)/2</f>
        <v>2500000</v>
      </c>
      <c r="F10" s="45">
        <f t="shared" si="4"/>
        <v>1250</v>
      </c>
      <c r="G10" s="3"/>
      <c r="H10" s="46">
        <v>9.1999999999999993</v>
      </c>
      <c r="I10" s="45">
        <f t="shared" si="0"/>
        <v>919.99999999999989</v>
      </c>
      <c r="J10" s="3"/>
      <c r="K10" s="47">
        <v>4</v>
      </c>
      <c r="L10" s="45">
        <f t="shared" si="5"/>
        <v>4000</v>
      </c>
      <c r="M10" s="3"/>
      <c r="N10" s="48">
        <f t="shared" si="1"/>
        <v>6170</v>
      </c>
      <c r="P10" s="49">
        <v>5250</v>
      </c>
      <c r="Q10" s="55"/>
      <c r="R10" s="59">
        <f t="shared" si="6"/>
        <v>920</v>
      </c>
      <c r="S10" s="39"/>
      <c r="T10" s="10">
        <v>199</v>
      </c>
      <c r="U10" s="51">
        <f t="shared" si="2"/>
        <v>1227830</v>
      </c>
      <c r="V10" s="52">
        <f t="shared" si="3"/>
        <v>1044750</v>
      </c>
    </row>
    <row r="11" spans="1:22" ht="15.4" x14ac:dyDescent="0.45">
      <c r="A11" s="8">
        <v>5</v>
      </c>
      <c r="B11" s="11" t="s">
        <v>43</v>
      </c>
      <c r="C11" s="10">
        <v>191</v>
      </c>
      <c r="D11" s="3"/>
      <c r="E11" s="45">
        <f>(3000000+6000000)/2</f>
        <v>4500000</v>
      </c>
      <c r="F11" s="45">
        <f t="shared" si="4"/>
        <v>2250</v>
      </c>
      <c r="G11" s="3"/>
      <c r="H11" s="46">
        <v>11.8</v>
      </c>
      <c r="I11" s="45">
        <f t="shared" si="0"/>
        <v>1180</v>
      </c>
      <c r="J11" s="3"/>
      <c r="K11" s="47">
        <v>5</v>
      </c>
      <c r="L11" s="45">
        <f t="shared" si="5"/>
        <v>5000</v>
      </c>
      <c r="M11" s="3"/>
      <c r="N11" s="48">
        <f t="shared" si="1"/>
        <v>8430</v>
      </c>
      <c r="P11" s="49">
        <v>7350</v>
      </c>
      <c r="Q11" s="55"/>
      <c r="R11" s="59">
        <f t="shared" si="6"/>
        <v>1080</v>
      </c>
      <c r="S11" s="39"/>
      <c r="T11" s="10">
        <v>191</v>
      </c>
      <c r="U11" s="51">
        <f t="shared" si="2"/>
        <v>1610130</v>
      </c>
      <c r="V11" s="52">
        <f t="shared" si="3"/>
        <v>1403850</v>
      </c>
    </row>
    <row r="12" spans="1:22" ht="15.4" x14ac:dyDescent="0.45">
      <c r="A12" s="8">
        <v>6</v>
      </c>
      <c r="B12" s="11" t="s">
        <v>44</v>
      </c>
      <c r="C12" s="10">
        <v>78</v>
      </c>
      <c r="D12" s="3"/>
      <c r="E12" s="45">
        <f>(6000000+10000000)/2</f>
        <v>8000000</v>
      </c>
      <c r="F12" s="45">
        <f t="shared" si="4"/>
        <v>4000</v>
      </c>
      <c r="G12" s="3"/>
      <c r="H12" s="46">
        <v>19.899999999999999</v>
      </c>
      <c r="I12" s="45">
        <f t="shared" si="0"/>
        <v>1989.9999999999998</v>
      </c>
      <c r="J12" s="3"/>
      <c r="K12" s="47">
        <v>7</v>
      </c>
      <c r="L12" s="45">
        <f t="shared" si="5"/>
        <v>7000</v>
      </c>
      <c r="M12" s="3"/>
      <c r="N12" s="48">
        <f t="shared" si="1"/>
        <v>12990</v>
      </c>
      <c r="P12" s="49">
        <v>10500</v>
      </c>
      <c r="Q12" s="55"/>
      <c r="R12" s="59">
        <f t="shared" si="6"/>
        <v>2490</v>
      </c>
      <c r="S12" s="39"/>
      <c r="T12" s="10">
        <v>78</v>
      </c>
      <c r="U12" s="51">
        <f t="shared" si="2"/>
        <v>1013220</v>
      </c>
      <c r="V12" s="52">
        <f t="shared" si="3"/>
        <v>819000</v>
      </c>
    </row>
    <row r="13" spans="1:22" ht="15.4" x14ac:dyDescent="0.45">
      <c r="A13" s="8">
        <v>7</v>
      </c>
      <c r="B13" s="11" t="s">
        <v>45</v>
      </c>
      <c r="C13" s="10">
        <v>27</v>
      </c>
      <c r="D13" s="3"/>
      <c r="E13" s="45">
        <f>(10000000+15000000)/2</f>
        <v>12500000</v>
      </c>
      <c r="F13" s="45">
        <f t="shared" si="4"/>
        <v>6250</v>
      </c>
      <c r="G13" s="3"/>
      <c r="H13" s="46">
        <v>29.3</v>
      </c>
      <c r="I13" s="45">
        <f t="shared" si="0"/>
        <v>2930</v>
      </c>
      <c r="J13" s="3"/>
      <c r="K13" s="47">
        <v>7</v>
      </c>
      <c r="L13" s="45">
        <f t="shared" si="5"/>
        <v>7000</v>
      </c>
      <c r="M13" s="3"/>
      <c r="N13" s="48">
        <f t="shared" si="1"/>
        <v>16180</v>
      </c>
      <c r="P13" s="49">
        <v>15750</v>
      </c>
      <c r="Q13" s="55"/>
      <c r="R13" s="59">
        <f t="shared" si="6"/>
        <v>430</v>
      </c>
      <c r="S13" s="39"/>
      <c r="T13" s="10">
        <v>27</v>
      </c>
      <c r="U13" s="51">
        <f t="shared" si="2"/>
        <v>436860</v>
      </c>
      <c r="V13" s="52">
        <f t="shared" si="3"/>
        <v>425250</v>
      </c>
    </row>
    <row r="14" spans="1:22" ht="15.4" x14ac:dyDescent="0.45">
      <c r="A14" s="8">
        <v>8</v>
      </c>
      <c r="B14" s="11" t="s">
        <v>46</v>
      </c>
      <c r="C14" s="10">
        <v>17</v>
      </c>
      <c r="D14" s="3"/>
      <c r="E14" s="45">
        <f>(15000000+20000000)/2</f>
        <v>17500000</v>
      </c>
      <c r="F14" s="45">
        <f t="shared" si="4"/>
        <v>8750</v>
      </c>
      <c r="G14" s="3"/>
      <c r="H14" s="46">
        <v>28.1</v>
      </c>
      <c r="I14" s="45">
        <f t="shared" si="0"/>
        <v>2810</v>
      </c>
      <c r="J14" s="3"/>
      <c r="K14" s="47">
        <v>8</v>
      </c>
      <c r="L14" s="45">
        <f t="shared" si="5"/>
        <v>8000</v>
      </c>
      <c r="M14" s="3"/>
      <c r="N14" s="48">
        <f t="shared" si="1"/>
        <v>19560</v>
      </c>
      <c r="P14" s="49">
        <v>21000</v>
      </c>
      <c r="Q14" s="55"/>
      <c r="R14" s="59">
        <f t="shared" si="6"/>
        <v>-1440</v>
      </c>
      <c r="S14" s="39"/>
      <c r="T14" s="10">
        <v>17</v>
      </c>
      <c r="U14" s="51">
        <f t="shared" si="2"/>
        <v>332520</v>
      </c>
      <c r="V14" s="52">
        <f t="shared" si="3"/>
        <v>357000</v>
      </c>
    </row>
    <row r="15" spans="1:22" ht="15.4" x14ac:dyDescent="0.45">
      <c r="A15" s="8">
        <v>9</v>
      </c>
      <c r="B15" s="11" t="s">
        <v>47</v>
      </c>
      <c r="C15" s="10">
        <v>10</v>
      </c>
      <c r="D15" s="3"/>
      <c r="E15" s="45">
        <f>(20000000+30000000)/2</f>
        <v>25000000</v>
      </c>
      <c r="F15" s="45">
        <f t="shared" si="4"/>
        <v>12500</v>
      </c>
      <c r="G15" s="3"/>
      <c r="H15" s="46">
        <v>33.4</v>
      </c>
      <c r="I15" s="45">
        <f t="shared" si="0"/>
        <v>3340</v>
      </c>
      <c r="J15" s="3"/>
      <c r="K15" s="47">
        <v>9</v>
      </c>
      <c r="L15" s="45">
        <f t="shared" si="5"/>
        <v>9000</v>
      </c>
      <c r="M15" s="3"/>
      <c r="N15" s="48">
        <f t="shared" si="1"/>
        <v>24840</v>
      </c>
      <c r="P15" s="49">
        <v>31500</v>
      </c>
      <c r="Q15" s="55"/>
      <c r="R15" s="59">
        <f t="shared" si="6"/>
        <v>-6660</v>
      </c>
      <c r="S15" s="39"/>
      <c r="T15" s="10">
        <v>10</v>
      </c>
      <c r="U15" s="51">
        <f t="shared" si="2"/>
        <v>248400</v>
      </c>
      <c r="V15" s="52">
        <f t="shared" si="3"/>
        <v>315000</v>
      </c>
    </row>
    <row r="16" spans="1:22" ht="15.4" x14ac:dyDescent="0.45">
      <c r="A16" s="8">
        <v>10</v>
      </c>
      <c r="B16" s="11" t="s">
        <v>49</v>
      </c>
      <c r="C16" s="10">
        <v>7</v>
      </c>
      <c r="D16" s="3"/>
      <c r="E16" s="45">
        <f>(30000000+40000000)/2</f>
        <v>35000000</v>
      </c>
      <c r="F16" s="45">
        <f t="shared" si="4"/>
        <v>17500</v>
      </c>
      <c r="G16" s="3"/>
      <c r="H16" s="46">
        <v>32.5</v>
      </c>
      <c r="I16" s="45">
        <f t="shared" si="0"/>
        <v>3250</v>
      </c>
      <c r="J16" s="3"/>
      <c r="K16" s="47">
        <v>16</v>
      </c>
      <c r="L16" s="45">
        <f t="shared" si="5"/>
        <v>16000</v>
      </c>
      <c r="M16" s="3"/>
      <c r="N16" s="48">
        <f t="shared" si="1"/>
        <v>36750</v>
      </c>
      <c r="P16" s="49">
        <v>36750</v>
      </c>
      <c r="Q16" s="55"/>
      <c r="R16" s="59">
        <f t="shared" si="6"/>
        <v>0</v>
      </c>
      <c r="S16" s="39"/>
      <c r="T16" s="10">
        <v>7</v>
      </c>
      <c r="U16" s="51">
        <f t="shared" si="2"/>
        <v>257250</v>
      </c>
      <c r="V16" s="52">
        <f t="shared" si="3"/>
        <v>257250</v>
      </c>
    </row>
    <row r="17" spans="1:22" ht="15.4" x14ac:dyDescent="0.45">
      <c r="A17" s="8">
        <v>11</v>
      </c>
      <c r="B17" s="11" t="s">
        <v>48</v>
      </c>
      <c r="C17" s="10">
        <v>4</v>
      </c>
      <c r="D17" s="3"/>
      <c r="E17" s="45">
        <f>(40000000+60000000)/2</f>
        <v>50000000</v>
      </c>
      <c r="F17" s="45">
        <f t="shared" si="4"/>
        <v>25000</v>
      </c>
      <c r="G17" s="3"/>
      <c r="H17" s="46">
        <v>65.400000000000006</v>
      </c>
      <c r="I17" s="45">
        <f t="shared" si="0"/>
        <v>6540.0000000000009</v>
      </c>
      <c r="J17" s="3"/>
      <c r="K17" s="47">
        <v>27</v>
      </c>
      <c r="L17" s="45">
        <f t="shared" si="5"/>
        <v>27000</v>
      </c>
      <c r="M17" s="3"/>
      <c r="N17" s="48">
        <f t="shared" si="1"/>
        <v>58540</v>
      </c>
      <c r="P17" s="49">
        <v>52500</v>
      </c>
      <c r="Q17" s="55"/>
      <c r="R17" s="59">
        <f t="shared" si="6"/>
        <v>6040</v>
      </c>
      <c r="S17" s="39"/>
      <c r="T17" s="10">
        <v>4</v>
      </c>
      <c r="U17" s="51">
        <f t="shared" si="2"/>
        <v>234160</v>
      </c>
      <c r="V17" s="52">
        <f t="shared" si="3"/>
        <v>210000</v>
      </c>
    </row>
    <row r="18" spans="1:22" ht="15.4" x14ac:dyDescent="0.45">
      <c r="A18" s="8">
        <v>12</v>
      </c>
      <c r="B18" s="11" t="s">
        <v>50</v>
      </c>
      <c r="C18" s="10">
        <v>10</v>
      </c>
      <c r="D18" s="3"/>
      <c r="E18" s="45">
        <f>(60000000+100000000)/2</f>
        <v>80000000</v>
      </c>
      <c r="F18" s="45">
        <f t="shared" si="4"/>
        <v>40000</v>
      </c>
      <c r="G18" s="3"/>
      <c r="H18" s="46">
        <v>68</v>
      </c>
      <c r="I18" s="45">
        <f t="shared" si="0"/>
        <v>6800</v>
      </c>
      <c r="J18" s="3"/>
      <c r="K18" s="47">
        <v>21</v>
      </c>
      <c r="L18" s="45">
        <f t="shared" si="5"/>
        <v>21000</v>
      </c>
      <c r="M18" s="3"/>
      <c r="N18" s="48">
        <f t="shared" si="1"/>
        <v>67800</v>
      </c>
      <c r="P18" s="49">
        <v>84000</v>
      </c>
      <c r="Q18" s="55"/>
      <c r="R18" s="59">
        <f t="shared" si="6"/>
        <v>-16200</v>
      </c>
      <c r="S18" s="39"/>
      <c r="T18" s="10">
        <v>10</v>
      </c>
      <c r="U18" s="51">
        <f t="shared" si="2"/>
        <v>678000</v>
      </c>
      <c r="V18" s="52">
        <f t="shared" si="3"/>
        <v>840000</v>
      </c>
    </row>
    <row r="19" spans="1:22" ht="15.6" customHeight="1" x14ac:dyDescent="0.45">
      <c r="A19" s="8">
        <v>13</v>
      </c>
      <c r="B19" s="11" t="s">
        <v>51</v>
      </c>
      <c r="C19" s="10">
        <v>3</v>
      </c>
      <c r="D19" s="3"/>
      <c r="E19" s="45">
        <f>(100000000+250000000)/2</f>
        <v>175000000</v>
      </c>
      <c r="F19" s="45">
        <f t="shared" si="4"/>
        <v>87500</v>
      </c>
      <c r="G19" s="3"/>
      <c r="H19" s="46">
        <v>156</v>
      </c>
      <c r="I19" s="45">
        <f t="shared" si="0"/>
        <v>15600</v>
      </c>
      <c r="J19" s="3"/>
      <c r="K19" s="47">
        <v>55</v>
      </c>
      <c r="L19" s="45">
        <f t="shared" si="5"/>
        <v>55000</v>
      </c>
      <c r="M19" s="3"/>
      <c r="N19" s="48">
        <f t="shared" si="1"/>
        <v>158100</v>
      </c>
      <c r="P19" s="49">
        <v>210000</v>
      </c>
      <c r="Q19" s="55"/>
      <c r="R19" s="59">
        <f t="shared" si="6"/>
        <v>-51900</v>
      </c>
      <c r="S19" s="38"/>
      <c r="T19" s="10">
        <v>3</v>
      </c>
      <c r="U19" s="51">
        <f t="shared" si="2"/>
        <v>474300</v>
      </c>
      <c r="V19" s="52">
        <f t="shared" si="3"/>
        <v>630000</v>
      </c>
    </row>
    <row r="20" spans="1:22" ht="17.45" customHeight="1" x14ac:dyDescent="0.45">
      <c r="A20" s="8">
        <v>14</v>
      </c>
      <c r="B20" s="11" t="s">
        <v>52</v>
      </c>
      <c r="C20" s="10">
        <v>2</v>
      </c>
      <c r="D20" s="3"/>
      <c r="E20" s="45">
        <f>(250000000+750000000)/2</f>
        <v>500000000</v>
      </c>
      <c r="F20" s="45">
        <f t="shared" si="4"/>
        <v>250000</v>
      </c>
      <c r="G20" s="3"/>
      <c r="H20" s="46">
        <v>243</v>
      </c>
      <c r="I20" s="45">
        <f t="shared" si="0"/>
        <v>24300</v>
      </c>
      <c r="J20" s="3"/>
      <c r="K20" s="47">
        <v>100</v>
      </c>
      <c r="L20" s="45">
        <f t="shared" si="5"/>
        <v>100000</v>
      </c>
      <c r="M20" s="3"/>
      <c r="N20" s="48">
        <f t="shared" si="1"/>
        <v>374300</v>
      </c>
      <c r="P20" s="50">
        <v>420000</v>
      </c>
      <c r="Q20" s="56"/>
      <c r="R20" s="59">
        <f t="shared" si="6"/>
        <v>-45700</v>
      </c>
      <c r="S20" s="38"/>
      <c r="T20" s="10">
        <v>2</v>
      </c>
      <c r="U20" s="51">
        <f t="shared" si="2"/>
        <v>748600</v>
      </c>
      <c r="V20" s="52">
        <f t="shared" si="3"/>
        <v>840000</v>
      </c>
    </row>
    <row r="21" spans="1:22" ht="15.4" x14ac:dyDescent="0.45">
      <c r="A21" s="8">
        <v>15</v>
      </c>
      <c r="B21" s="11" t="s">
        <v>53</v>
      </c>
      <c r="C21" s="10">
        <v>4</v>
      </c>
      <c r="D21" s="3"/>
      <c r="E21" s="45">
        <v>1375000000</v>
      </c>
      <c r="F21" s="45">
        <f t="shared" si="4"/>
        <v>687500</v>
      </c>
      <c r="G21" s="3"/>
      <c r="H21" s="46">
        <v>239</v>
      </c>
      <c r="I21" s="45">
        <f t="shared" si="0"/>
        <v>23900</v>
      </c>
      <c r="J21" s="3"/>
      <c r="K21" s="47">
        <v>203</v>
      </c>
      <c r="L21" s="45">
        <f t="shared" si="5"/>
        <v>203000</v>
      </c>
      <c r="M21" s="3"/>
      <c r="N21" s="48">
        <f t="shared" si="1"/>
        <v>914400</v>
      </c>
      <c r="P21" s="49">
        <v>800000</v>
      </c>
      <c r="Q21" s="55"/>
      <c r="R21" s="59">
        <f t="shared" si="6"/>
        <v>114400</v>
      </c>
      <c r="S21" s="38"/>
      <c r="T21" s="10">
        <v>4</v>
      </c>
      <c r="U21" s="51">
        <f t="shared" si="2"/>
        <v>3657600</v>
      </c>
      <c r="V21" s="52">
        <f t="shared" si="3"/>
        <v>3200000</v>
      </c>
    </row>
    <row r="22" spans="1:22" ht="15.4" x14ac:dyDescent="0.45">
      <c r="B22" s="13"/>
      <c r="C22" s="12"/>
      <c r="D22" s="3"/>
      <c r="G22" s="3"/>
      <c r="H22" s="1"/>
      <c r="J22" s="3"/>
      <c r="K22" s="1"/>
      <c r="M22" s="3"/>
      <c r="P22" s="14"/>
      <c r="Q22" s="57"/>
      <c r="R22" s="57"/>
      <c r="S22" s="3"/>
      <c r="T22" s="12"/>
      <c r="U22" s="12"/>
      <c r="V22" s="12"/>
    </row>
    <row r="23" spans="1:22" ht="15.4" x14ac:dyDescent="0.45">
      <c r="B23" s="13"/>
      <c r="C23" s="40">
        <f>SUM(C7:C22)</f>
        <v>2264</v>
      </c>
      <c r="D23" s="3"/>
      <c r="G23" s="3"/>
      <c r="H23" s="1"/>
      <c r="J23" s="3"/>
      <c r="K23" s="1"/>
      <c r="M23" s="3"/>
      <c r="P23" s="17"/>
      <c r="Q23" s="34"/>
      <c r="R23" s="34"/>
      <c r="S23" s="3"/>
      <c r="T23" s="40">
        <f>SUM(T7:T22)</f>
        <v>2264</v>
      </c>
      <c r="U23" s="40">
        <f>SUM(U7:U21)</f>
        <v>17357950</v>
      </c>
      <c r="V23" s="40">
        <f>SUM(V7:V21)</f>
        <v>15682820</v>
      </c>
    </row>
    <row r="24" spans="1:22" ht="15.4" x14ac:dyDescent="0.45">
      <c r="B24" s="13"/>
      <c r="C24" s="31"/>
      <c r="D24" s="3"/>
      <c r="G24" s="3"/>
      <c r="J24" s="3"/>
      <c r="M24" s="3"/>
      <c r="P24" s="32"/>
      <c r="Q24" s="32"/>
      <c r="R24" s="32"/>
      <c r="S24" s="3"/>
      <c r="T24" s="31"/>
      <c r="U24" s="31"/>
      <c r="V24" s="1"/>
    </row>
    <row r="25" spans="1:22" s="29" customFormat="1" ht="15" x14ac:dyDescent="0.45">
      <c r="B25" s="30"/>
      <c r="C25" s="30"/>
      <c r="P25" s="35"/>
      <c r="Q25" s="35"/>
      <c r="R25" s="35"/>
    </row>
    <row r="26" spans="1:22" ht="15.4" x14ac:dyDescent="0.45">
      <c r="B26" s="1"/>
      <c r="C26" s="1"/>
      <c r="D26" s="1"/>
      <c r="P26" s="33"/>
      <c r="Q26" s="33"/>
      <c r="R26" s="33"/>
    </row>
    <row r="27" spans="1:22" ht="15.4" x14ac:dyDescent="0.45">
      <c r="B27" s="1"/>
      <c r="C27" s="1"/>
      <c r="D27" s="1"/>
      <c r="P27" s="32"/>
      <c r="Q27" s="32"/>
      <c r="R27" s="32"/>
    </row>
    <row r="28" spans="1:22" ht="15.4" x14ac:dyDescent="0.45">
      <c r="B28" s="1"/>
      <c r="C28" s="1"/>
      <c r="D28" s="1"/>
      <c r="P28" s="33"/>
      <c r="Q28" s="33"/>
      <c r="R28" s="33"/>
    </row>
    <row r="29" spans="1:22" ht="15.4" x14ac:dyDescent="0.45">
      <c r="B29" s="1"/>
      <c r="C29" s="1"/>
      <c r="D29" s="1"/>
      <c r="P29" s="32"/>
      <c r="Q29" s="32"/>
      <c r="R29" s="32"/>
    </row>
    <row r="30" spans="1:22" ht="15.4" x14ac:dyDescent="0.45">
      <c r="B30" s="1"/>
      <c r="C30" s="1"/>
      <c r="D30" s="1"/>
    </row>
  </sheetData>
  <sheetProtection algorithmName="SHA-512" hashValue="5V0lKnBBwTrLKcZLQ6MdvGh1ZuP+7ItkMleN0PE7zy1T+oV+S/nVMTQkRTz2PZkRNIv0rxh4dKZkX9jpS3RSsA==" saltValue="kd4rG7v1Ocu52E7VXgAMfQ==" spinCount="100000" sheet="1" objects="1" scenarios="1"/>
  <mergeCells count="4">
    <mergeCell ref="E3:F3"/>
    <mergeCell ref="H3:I3"/>
    <mergeCell ref="K3:L3"/>
    <mergeCell ref="N3:R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 Доходы от ЮЛ</vt:lpstr>
      <vt:lpstr>2018 Доходы от ЮЛ</vt:lpstr>
      <vt:lpstr>2019 Доходы от ЮЛ</vt:lpstr>
      <vt:lpstr>2023 Модель взносов ЮЛ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Ольга А. Носова</cp:lastModifiedBy>
  <cp:lastPrinted>2020-08-17T07:52:27Z</cp:lastPrinted>
  <dcterms:created xsi:type="dcterms:W3CDTF">2015-06-05T18:19:34Z</dcterms:created>
  <dcterms:modified xsi:type="dcterms:W3CDTF">2022-11-24T17:34:47Z</dcterms:modified>
</cp:coreProperties>
</file>